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entraleProjekte\MALDI CVUAS\Parameter Validierungen\gültige Parameter Validierungen\aaTier Milch Pflanze\"/>
    </mc:Choice>
  </mc:AlternateContent>
  <bookViews>
    <workbookView xWindow="0" yWindow="0" windowWidth="20010" windowHeight="11115" tabRatio="858" activeTab="4"/>
  </bookViews>
  <sheets>
    <sheet name="Settings" sheetId="17" r:id="rId1"/>
    <sheet name="Parameter (Spezies)" sheetId="1" r:id="rId2"/>
    <sheet name="#Parameter (Spezies) DB" sheetId="12" r:id="rId3"/>
    <sheet name="#Parameter (Spezies)" sheetId="5" r:id="rId4"/>
    <sheet name="Report (Spezies)" sheetId="3" r:id="rId5"/>
    <sheet name="Sortierung" sheetId="16" r:id="rId6"/>
  </sheets>
  <definedNames>
    <definedName name="_xlnm._FilterDatabase" localSheetId="3" hidden="1">'#Parameter (Spezies)'!$E$1:$L$125</definedName>
    <definedName name="_xlnm._FilterDatabase" localSheetId="2" hidden="1">'#Parameter (Spezies) DB'!$F$1:$Z$125</definedName>
    <definedName name="_xlnm._FilterDatabase" localSheetId="1" hidden="1">'Parameter (Spezies)'!$F$1:$U$54</definedName>
  </definedNames>
  <calcPr calcId="162913"/>
</workbook>
</file>

<file path=xl/calcChain.xml><?xml version="1.0" encoding="utf-8"?>
<calcChain xmlns="http://schemas.openxmlformats.org/spreadsheetml/2006/main">
  <c r="R3" i="12" l="1"/>
  <c r="T3" i="12" s="1"/>
  <c r="U3" i="12" s="1"/>
  <c r="V3" i="12"/>
  <c r="X3" i="12" s="1"/>
  <c r="W3" i="12"/>
  <c r="Y3" i="12"/>
  <c r="Z3" i="12"/>
  <c r="R4" i="12"/>
  <c r="T4" i="12"/>
  <c r="U4" i="12" s="1"/>
  <c r="S4" i="12" s="1"/>
  <c r="V4" i="12"/>
  <c r="W4" i="12"/>
  <c r="Y4" i="12" s="1"/>
  <c r="X4" i="12"/>
  <c r="Z4" i="12"/>
  <c r="R5" i="12"/>
  <c r="T5" i="12" s="1"/>
  <c r="U5" i="12" s="1"/>
  <c r="V5" i="12"/>
  <c r="X5" i="12" s="1"/>
  <c r="W5" i="12"/>
  <c r="Y5" i="12" s="1"/>
  <c r="Z5" i="12"/>
  <c r="R6" i="12"/>
  <c r="T6" i="12"/>
  <c r="U6" i="12" s="1"/>
  <c r="S6" i="12" s="1"/>
  <c r="V6" i="12"/>
  <c r="W6" i="12"/>
  <c r="Y6" i="12" s="1"/>
  <c r="AA6" i="12" s="1"/>
  <c r="X6" i="12"/>
  <c r="Z6" i="12"/>
  <c r="R7" i="12"/>
  <c r="T7" i="12" s="1"/>
  <c r="U7" i="12"/>
  <c r="V7" i="12"/>
  <c r="X7" i="12" s="1"/>
  <c r="W7" i="12"/>
  <c r="Y7" i="12" s="1"/>
  <c r="Z7" i="12"/>
  <c r="R8" i="12"/>
  <c r="T8" i="12" s="1"/>
  <c r="U8" i="12" s="1"/>
  <c r="V8" i="12"/>
  <c r="W8" i="12"/>
  <c r="Y8" i="12" s="1"/>
  <c r="X8" i="12"/>
  <c r="AA8" i="12" s="1"/>
  <c r="R9" i="12"/>
  <c r="T9" i="12" s="1"/>
  <c r="U9" i="12" s="1"/>
  <c r="V9" i="12"/>
  <c r="X9" i="12" s="1"/>
  <c r="W9" i="12"/>
  <c r="Y9" i="12" s="1"/>
  <c r="Z9" i="12"/>
  <c r="R10" i="12"/>
  <c r="T10" i="12" s="1"/>
  <c r="U10" i="12" s="1"/>
  <c r="V10" i="12"/>
  <c r="X10" i="12" s="1"/>
  <c r="W10" i="12"/>
  <c r="Y10" i="12" s="1"/>
  <c r="R11" i="12"/>
  <c r="T11" i="12" s="1"/>
  <c r="U11" i="12" s="1"/>
  <c r="V11" i="12"/>
  <c r="X11" i="12" s="1"/>
  <c r="W11" i="12"/>
  <c r="Y11" i="12"/>
  <c r="R12" i="12"/>
  <c r="T12" i="12" s="1"/>
  <c r="U12" i="12" s="1"/>
  <c r="V12" i="12"/>
  <c r="X12" i="12" s="1"/>
  <c r="AA12" i="12" s="1"/>
  <c r="W12" i="12"/>
  <c r="Y12" i="12" s="1"/>
  <c r="R13" i="12"/>
  <c r="T13" i="12" s="1"/>
  <c r="U13" i="12" s="1"/>
  <c r="V13" i="12"/>
  <c r="X13" i="12" s="1"/>
  <c r="W13" i="12"/>
  <c r="Y13" i="12"/>
  <c r="Z13" i="12"/>
  <c r="R14" i="12"/>
  <c r="T14" i="12"/>
  <c r="U14" i="12" s="1"/>
  <c r="S14" i="12" s="1"/>
  <c r="V14" i="12"/>
  <c r="X14" i="12" s="1"/>
  <c r="W14" i="12"/>
  <c r="Y14" i="12" s="1"/>
  <c r="Z14" i="12"/>
  <c r="R15" i="12"/>
  <c r="T15" i="12" s="1"/>
  <c r="U15" i="12" s="1"/>
  <c r="V15" i="12"/>
  <c r="X15" i="12" s="1"/>
  <c r="W15" i="12"/>
  <c r="Y15" i="12" s="1"/>
  <c r="R16" i="12"/>
  <c r="T16" i="12"/>
  <c r="U16" i="12" s="1"/>
  <c r="S16" i="12" s="1"/>
  <c r="V16" i="12"/>
  <c r="X16" i="12" s="1"/>
  <c r="AA16" i="12" s="1"/>
  <c r="W16" i="12"/>
  <c r="Y16" i="12" s="1"/>
  <c r="Z16" i="12"/>
  <c r="R17" i="12"/>
  <c r="T17" i="12" s="1"/>
  <c r="U17" i="12" s="1"/>
  <c r="V17" i="12"/>
  <c r="X17" i="12" s="1"/>
  <c r="W17" i="12"/>
  <c r="Y17" i="12" s="1"/>
  <c r="R18" i="12"/>
  <c r="T18" i="12"/>
  <c r="U18" i="12" s="1"/>
  <c r="S18" i="12" s="1"/>
  <c r="V18" i="12"/>
  <c r="X18" i="12" s="1"/>
  <c r="AA18" i="12" s="1"/>
  <c r="W18" i="12"/>
  <c r="Y18" i="12" s="1"/>
  <c r="Z18" i="12"/>
  <c r="R19" i="12"/>
  <c r="T19" i="12" s="1"/>
  <c r="U19" i="12" s="1"/>
  <c r="V19" i="12"/>
  <c r="X19" i="12" s="1"/>
  <c r="W19" i="12"/>
  <c r="Y19" i="12" s="1"/>
  <c r="R20" i="12"/>
  <c r="T20" i="12"/>
  <c r="U20" i="12" s="1"/>
  <c r="S20" i="12" s="1"/>
  <c r="V20" i="12"/>
  <c r="X20" i="12" s="1"/>
  <c r="AA20" i="12" s="1"/>
  <c r="W20" i="12"/>
  <c r="Y20" i="12" s="1"/>
  <c r="Z20" i="12"/>
  <c r="R21" i="12"/>
  <c r="T21" i="12" s="1"/>
  <c r="U21" i="12" s="1"/>
  <c r="V21" i="12"/>
  <c r="X21" i="12" s="1"/>
  <c r="W21" i="12"/>
  <c r="Y21" i="12" s="1"/>
  <c r="R22" i="12"/>
  <c r="T22" i="12"/>
  <c r="U22" i="12" s="1"/>
  <c r="V22" i="12"/>
  <c r="X22" i="12" s="1"/>
  <c r="AA22" i="12" s="1"/>
  <c r="W22" i="12"/>
  <c r="Y22" i="12" s="1"/>
  <c r="R23" i="12"/>
  <c r="T23" i="12" s="1"/>
  <c r="U23" i="12" s="1"/>
  <c r="V23" i="12"/>
  <c r="X23" i="12" s="1"/>
  <c r="W23" i="12"/>
  <c r="Y23" i="12"/>
  <c r="R24" i="12"/>
  <c r="Z24" i="12" s="1"/>
  <c r="V24" i="12"/>
  <c r="W24" i="12"/>
  <c r="Y24" i="12" s="1"/>
  <c r="X24" i="12"/>
  <c r="R25" i="12"/>
  <c r="T25" i="12" s="1"/>
  <c r="U25" i="12" s="1"/>
  <c r="V25" i="12"/>
  <c r="X25" i="12" s="1"/>
  <c r="W25" i="12"/>
  <c r="Y25" i="12" s="1"/>
  <c r="R26" i="12"/>
  <c r="T26" i="12" s="1"/>
  <c r="U26" i="12" s="1"/>
  <c r="V26" i="12"/>
  <c r="W26" i="12"/>
  <c r="Y26" i="12" s="1"/>
  <c r="X26" i="12"/>
  <c r="AA26" i="12" s="1"/>
  <c r="R27" i="12"/>
  <c r="T27" i="12" s="1"/>
  <c r="U27" i="12" s="1"/>
  <c r="V27" i="12"/>
  <c r="X27" i="12" s="1"/>
  <c r="W27" i="12"/>
  <c r="Y27" i="12" s="1"/>
  <c r="R28" i="12"/>
  <c r="T28" i="12"/>
  <c r="U28" i="12" s="1"/>
  <c r="V28" i="12"/>
  <c r="W28" i="12"/>
  <c r="Y28" i="12" s="1"/>
  <c r="X28" i="12"/>
  <c r="AA28" i="12" s="1"/>
  <c r="R29" i="12"/>
  <c r="T29" i="12" s="1"/>
  <c r="U29" i="12" s="1"/>
  <c r="V29" i="12"/>
  <c r="X29" i="12" s="1"/>
  <c r="W29" i="12"/>
  <c r="Y29" i="12" s="1"/>
  <c r="R30" i="12"/>
  <c r="T30" i="12" s="1"/>
  <c r="U30" i="12" s="1"/>
  <c r="V30" i="12"/>
  <c r="X30" i="12" s="1"/>
  <c r="W30" i="12"/>
  <c r="Y30" i="12" s="1"/>
  <c r="R31" i="12"/>
  <c r="T31" i="12" s="1"/>
  <c r="U31" i="12" s="1"/>
  <c r="V31" i="12"/>
  <c r="X31" i="12" s="1"/>
  <c r="W31" i="12"/>
  <c r="Y31" i="12"/>
  <c r="R32" i="12"/>
  <c r="T32" i="12" s="1"/>
  <c r="U32" i="12" s="1"/>
  <c r="V32" i="12"/>
  <c r="X32" i="12" s="1"/>
  <c r="AA32" i="12" s="1"/>
  <c r="W32" i="12"/>
  <c r="Y32" i="12" s="1"/>
  <c r="R33" i="12"/>
  <c r="T33" i="12" s="1"/>
  <c r="U33" i="12" s="1"/>
  <c r="V33" i="12"/>
  <c r="X33" i="12" s="1"/>
  <c r="W33" i="12"/>
  <c r="Y33" i="12" s="1"/>
  <c r="R34" i="12"/>
  <c r="T34" i="12" s="1"/>
  <c r="U34" i="12" s="1"/>
  <c r="V34" i="12"/>
  <c r="X34" i="12" s="1"/>
  <c r="AA34" i="12" s="1"/>
  <c r="W34" i="12"/>
  <c r="Y34" i="12" s="1"/>
  <c r="R35" i="12"/>
  <c r="T35" i="12" s="1"/>
  <c r="U35" i="12" s="1"/>
  <c r="V35" i="12"/>
  <c r="X35" i="12" s="1"/>
  <c r="W35" i="12"/>
  <c r="Y35" i="12" s="1"/>
  <c r="R36" i="12"/>
  <c r="T36" i="12" s="1"/>
  <c r="U36" i="12" s="1"/>
  <c r="V36" i="12"/>
  <c r="X36" i="12" s="1"/>
  <c r="W36" i="12"/>
  <c r="Y36" i="12" s="1"/>
  <c r="R37" i="12"/>
  <c r="T37" i="12" s="1"/>
  <c r="U37" i="12" s="1"/>
  <c r="V37" i="12"/>
  <c r="X37" i="12" s="1"/>
  <c r="W37" i="12"/>
  <c r="Y37" i="12"/>
  <c r="R38" i="12"/>
  <c r="T38" i="12" s="1"/>
  <c r="U38" i="12" s="1"/>
  <c r="V38" i="12"/>
  <c r="X38" i="12" s="1"/>
  <c r="W38" i="12"/>
  <c r="Y38" i="12" s="1"/>
  <c r="R39" i="12"/>
  <c r="T39" i="12" s="1"/>
  <c r="U39" i="12" s="1"/>
  <c r="V39" i="12"/>
  <c r="X39" i="12" s="1"/>
  <c r="W39" i="12"/>
  <c r="Y39" i="12"/>
  <c r="R40" i="12"/>
  <c r="T40" i="12" s="1"/>
  <c r="U40" i="12" s="1"/>
  <c r="V40" i="12"/>
  <c r="X40" i="12" s="1"/>
  <c r="AA40" i="12" s="1"/>
  <c r="W40" i="12"/>
  <c r="Y40" i="12" s="1"/>
  <c r="R41" i="12"/>
  <c r="T41" i="12" s="1"/>
  <c r="U41" i="12" s="1"/>
  <c r="V41" i="12"/>
  <c r="X41" i="12" s="1"/>
  <c r="W41" i="12"/>
  <c r="Y41" i="12" s="1"/>
  <c r="R42" i="12"/>
  <c r="T42" i="12" s="1"/>
  <c r="U42" i="12" s="1"/>
  <c r="V42" i="12"/>
  <c r="X42" i="12" s="1"/>
  <c r="AA42" i="12" s="1"/>
  <c r="W42" i="12"/>
  <c r="Y42" i="12" s="1"/>
  <c r="X2" i="12"/>
  <c r="W2" i="12"/>
  <c r="Y2" i="12" s="1"/>
  <c r="V2" i="12"/>
  <c r="Z2" i="12" s="1"/>
  <c r="R2" i="12"/>
  <c r="T2" i="12" s="1"/>
  <c r="U2" i="12" s="1"/>
  <c r="S10" i="12" l="1"/>
  <c r="S8" i="12"/>
  <c r="AA41" i="12"/>
  <c r="AA2" i="12"/>
  <c r="AA35" i="12"/>
  <c r="AA27" i="12"/>
  <c r="S9" i="12"/>
  <c r="S7" i="12"/>
  <c r="AA38" i="12"/>
  <c r="AA37" i="12"/>
  <c r="AA30" i="12"/>
  <c r="AA29" i="12"/>
  <c r="Z28" i="12"/>
  <c r="S28" i="12" s="1"/>
  <c r="Z25" i="12"/>
  <c r="AA21" i="12"/>
  <c r="AA17" i="12"/>
  <c r="Z12" i="12"/>
  <c r="S12" i="12" s="1"/>
  <c r="Z10" i="12"/>
  <c r="AA4" i="12"/>
  <c r="AA36" i="12"/>
  <c r="AA39" i="12"/>
  <c r="AA31" i="12"/>
  <c r="T24" i="12"/>
  <c r="U24" i="12" s="1"/>
  <c r="AA23" i="12"/>
  <c r="Z22" i="12"/>
  <c r="S22" i="12" s="1"/>
  <c r="Z19" i="12"/>
  <c r="S19" i="12" s="1"/>
  <c r="Z15" i="12"/>
  <c r="AA14" i="12"/>
  <c r="AA13" i="12"/>
  <c r="Z8" i="12"/>
  <c r="S5" i="12"/>
  <c r="AA3" i="12"/>
  <c r="AA33" i="12"/>
  <c r="Z26" i="12"/>
  <c r="S26" i="12" s="1"/>
  <c r="AA24" i="12"/>
  <c r="S24" i="12"/>
  <c r="S13" i="12"/>
  <c r="Z11" i="12"/>
  <c r="S11" i="12" s="1"/>
  <c r="AA10" i="12"/>
  <c r="AA9" i="12"/>
  <c r="S3" i="12"/>
  <c r="S33" i="12"/>
  <c r="S17" i="12"/>
  <c r="S25" i="12"/>
  <c r="Z37" i="12"/>
  <c r="S37" i="12" s="1"/>
  <c r="Z31" i="12"/>
  <c r="S31" i="12" s="1"/>
  <c r="S23" i="12"/>
  <c r="Z41" i="12"/>
  <c r="S41" i="12" s="1"/>
  <c r="Z39" i="12"/>
  <c r="S39" i="12" s="1"/>
  <c r="Z23" i="12"/>
  <c r="Z42" i="12"/>
  <c r="S42" i="12" s="1"/>
  <c r="Z40" i="12"/>
  <c r="S40" i="12" s="1"/>
  <c r="Z38" i="12"/>
  <c r="S38" i="12" s="1"/>
  <c r="Z36" i="12"/>
  <c r="S36" i="12" s="1"/>
  <c r="Z34" i="12"/>
  <c r="S34" i="12" s="1"/>
  <c r="Z32" i="12"/>
  <c r="S32" i="12" s="1"/>
  <c r="Z30" i="12"/>
  <c r="S30" i="12" s="1"/>
  <c r="Z27" i="12"/>
  <c r="S27" i="12" s="1"/>
  <c r="Z21" i="12"/>
  <c r="S21" i="12" s="1"/>
  <c r="Z17" i="12"/>
  <c r="AA5" i="12"/>
  <c r="S15" i="12"/>
  <c r="Z35" i="12"/>
  <c r="S35" i="12" s="1"/>
  <c r="Z33" i="12"/>
  <c r="Z29" i="12"/>
  <c r="S29" i="12" s="1"/>
  <c r="AA25" i="12"/>
  <c r="AA19" i="12"/>
  <c r="AA15" i="12"/>
  <c r="AA11" i="12"/>
  <c r="AA7" i="12"/>
  <c r="S2" i="12"/>
  <c r="L42" i="5" l="1"/>
  <c r="K42" i="5"/>
  <c r="K41" i="5"/>
  <c r="L41" i="5" s="1"/>
  <c r="L40" i="5"/>
  <c r="K40" i="5"/>
  <c r="K39" i="5"/>
  <c r="L39" i="5" s="1"/>
  <c r="L38" i="5"/>
  <c r="K38" i="5"/>
  <c r="K37" i="5"/>
  <c r="L37" i="5" s="1"/>
  <c r="K2" i="5"/>
  <c r="L2" i="5" s="1"/>
  <c r="K3" i="5"/>
  <c r="L3" i="5" s="1"/>
  <c r="K4" i="5"/>
  <c r="L4" i="5" s="1"/>
  <c r="K5" i="5"/>
  <c r="L5" i="5" s="1"/>
  <c r="K6" i="5"/>
  <c r="L6" i="5" s="1"/>
  <c r="K7" i="5"/>
  <c r="L7" i="5"/>
  <c r="K8" i="5"/>
  <c r="L8" i="5" s="1"/>
  <c r="K9" i="5"/>
  <c r="L9" i="5" s="1"/>
  <c r="K10" i="5"/>
  <c r="L10" i="5" s="1"/>
  <c r="K11" i="5"/>
  <c r="L11" i="5" s="1"/>
  <c r="K12" i="5"/>
  <c r="L12" i="5" s="1"/>
  <c r="K13" i="5"/>
  <c r="L13" i="5" s="1"/>
  <c r="K14" i="5"/>
  <c r="L14" i="5" s="1"/>
  <c r="K15" i="5"/>
  <c r="L15" i="5" s="1"/>
  <c r="K16" i="5"/>
  <c r="L16" i="5" s="1"/>
  <c r="K17" i="5"/>
  <c r="L17" i="5" s="1"/>
  <c r="K18" i="5"/>
  <c r="L18" i="5" s="1"/>
  <c r="K19" i="5"/>
  <c r="L19" i="5" s="1"/>
  <c r="K20" i="5"/>
  <c r="L20" i="5" s="1"/>
  <c r="K21" i="5"/>
  <c r="L21" i="5" s="1"/>
  <c r="K22" i="5"/>
  <c r="L22" i="5" s="1"/>
  <c r="K23" i="5"/>
  <c r="L23" i="5" s="1"/>
  <c r="K24" i="5"/>
  <c r="L24" i="5" s="1"/>
  <c r="K25" i="5"/>
  <c r="L25" i="5" s="1"/>
  <c r="K26" i="5"/>
  <c r="L26" i="5" s="1"/>
  <c r="K27" i="5"/>
  <c r="L27" i="5" s="1"/>
  <c r="K28" i="5"/>
  <c r="L28" i="5" s="1"/>
  <c r="K29" i="5"/>
  <c r="L29" i="5" s="1"/>
  <c r="K30" i="5"/>
  <c r="L30" i="5" s="1"/>
  <c r="K31" i="5"/>
  <c r="L31" i="5" s="1"/>
  <c r="K32" i="5"/>
  <c r="L32" i="5" s="1"/>
  <c r="K33" i="5"/>
  <c r="L33" i="5"/>
  <c r="K34" i="5"/>
  <c r="L34" i="5" s="1"/>
  <c r="K35" i="5"/>
  <c r="L35" i="5" s="1"/>
  <c r="K36" i="5"/>
  <c r="L36" i="5" s="1"/>
  <c r="E37" i="12" l="1"/>
  <c r="E39" i="12"/>
  <c r="E40" i="12"/>
  <c r="E41" i="12"/>
  <c r="P23" i="1"/>
  <c r="C1" i="1"/>
  <c r="P22" i="1"/>
  <c r="B1" i="1"/>
  <c r="P21" i="1"/>
  <c r="P17" i="1"/>
  <c r="P13" i="1"/>
  <c r="P9" i="1"/>
  <c r="P5" i="1"/>
  <c r="B13" i="5"/>
  <c r="B12" i="5"/>
  <c r="B21" i="12"/>
  <c r="B20" i="12"/>
  <c r="A43" i="3"/>
  <c r="B13" i="1"/>
  <c r="B12" i="1"/>
  <c r="A18" i="3"/>
  <c r="C19" i="3"/>
  <c r="C18" i="3"/>
  <c r="B1" i="12"/>
  <c r="A3" i="3"/>
  <c r="A15" i="12"/>
  <c r="A14" i="12"/>
  <c r="C21" i="3"/>
  <c r="C1" i="5"/>
  <c r="B1" i="5"/>
  <c r="E38" i="12" l="1"/>
  <c r="E42" i="12"/>
  <c r="B5" i="5"/>
  <c r="E24" i="12"/>
  <c r="E31" i="12"/>
  <c r="E12" i="12"/>
  <c r="E5" i="12"/>
  <c r="S21" i="1"/>
  <c r="U21" i="1" s="1"/>
  <c r="S23" i="1"/>
  <c r="E23" i="1" s="1"/>
  <c r="U23" i="1"/>
  <c r="E23" i="12"/>
  <c r="E15" i="12"/>
  <c r="E30" i="12"/>
  <c r="E22" i="12"/>
  <c r="B3" i="5"/>
  <c r="B7" i="5"/>
  <c r="P4" i="1"/>
  <c r="P8" i="1"/>
  <c r="P12" i="1"/>
  <c r="P16" i="1"/>
  <c r="P20" i="1"/>
  <c r="P3" i="1"/>
  <c r="S3" i="1" s="1"/>
  <c r="P7" i="1"/>
  <c r="P11" i="1"/>
  <c r="S11" i="1" s="1"/>
  <c r="P15" i="1"/>
  <c r="S18" i="1"/>
  <c r="P19" i="1"/>
  <c r="S19" i="1" s="1"/>
  <c r="S22" i="1"/>
  <c r="U22" i="1" s="1"/>
  <c r="P2" i="1"/>
  <c r="S2" i="1" s="1"/>
  <c r="S5" i="1"/>
  <c r="P6" i="1"/>
  <c r="S9" i="1"/>
  <c r="R9" i="1" s="1"/>
  <c r="Q9" i="1" s="1"/>
  <c r="P10" i="1"/>
  <c r="S10" i="1" s="1"/>
  <c r="S13" i="1"/>
  <c r="P14" i="1"/>
  <c r="S17" i="1"/>
  <c r="R17" i="1" s="1"/>
  <c r="Q17" i="1" s="1"/>
  <c r="P18" i="1"/>
  <c r="E20" i="12" l="1"/>
  <c r="E4" i="12"/>
  <c r="E28" i="12"/>
  <c r="E25" i="12"/>
  <c r="R23" i="1"/>
  <c r="Q23" i="1" s="1"/>
  <c r="E21" i="1"/>
  <c r="E16" i="12"/>
  <c r="E33" i="12"/>
  <c r="E3" i="12"/>
  <c r="E17" i="12"/>
  <c r="E21" i="12"/>
  <c r="E9" i="12"/>
  <c r="B15" i="12"/>
  <c r="E29" i="12"/>
  <c r="E26" i="12"/>
  <c r="E36" i="12"/>
  <c r="E11" i="12"/>
  <c r="E18" i="12"/>
  <c r="E34" i="12"/>
  <c r="E10" i="12"/>
  <c r="E27" i="12"/>
  <c r="E2" i="12"/>
  <c r="E32" i="12"/>
  <c r="E14" i="12"/>
  <c r="E19" i="12"/>
  <c r="E35" i="12"/>
  <c r="E13" i="12"/>
  <c r="E8" i="12"/>
  <c r="E6" i="12"/>
  <c r="R21" i="1"/>
  <c r="Q21" i="1" s="1"/>
  <c r="E11" i="1"/>
  <c r="E19" i="1"/>
  <c r="E3" i="1"/>
  <c r="E13" i="1"/>
  <c r="U13" i="1"/>
  <c r="E5" i="1"/>
  <c r="U5" i="1"/>
  <c r="E18" i="1"/>
  <c r="E10" i="1"/>
  <c r="E2" i="1"/>
  <c r="B35" i="3"/>
  <c r="C11" i="3"/>
  <c r="R13" i="1"/>
  <c r="Q13" i="1" s="1"/>
  <c r="R19" i="1"/>
  <c r="Q19" i="1" s="1"/>
  <c r="U19" i="1"/>
  <c r="R11" i="1"/>
  <c r="Q11" i="1" s="1"/>
  <c r="U11" i="1"/>
  <c r="R3" i="1"/>
  <c r="Q3" i="1" s="1"/>
  <c r="U3" i="1"/>
  <c r="S20" i="1"/>
  <c r="R20" i="1"/>
  <c r="Q20" i="1" s="1"/>
  <c r="S12" i="1"/>
  <c r="U12" i="1" s="1"/>
  <c r="S4" i="1"/>
  <c r="R4" i="1" s="1"/>
  <c r="Q4" i="1" s="1"/>
  <c r="U4" i="1"/>
  <c r="R18" i="1"/>
  <c r="Q18" i="1" s="1"/>
  <c r="U18" i="1"/>
  <c r="R10" i="1"/>
  <c r="Q10" i="1" s="1"/>
  <c r="U10" i="1"/>
  <c r="R2" i="1"/>
  <c r="U2" i="1"/>
  <c r="S16" i="1"/>
  <c r="R16" i="1" s="1"/>
  <c r="Q16" i="1" s="1"/>
  <c r="S8" i="1"/>
  <c r="U8" i="1" s="1"/>
  <c r="B9" i="5"/>
  <c r="D35" i="3" s="1"/>
  <c r="B14" i="12"/>
  <c r="E17" i="1"/>
  <c r="U17" i="1"/>
  <c r="T17" i="1"/>
  <c r="E9" i="1"/>
  <c r="U9" i="1"/>
  <c r="T9" i="1"/>
  <c r="R22" i="1"/>
  <c r="Q22" i="1" s="1"/>
  <c r="E22" i="1"/>
  <c r="S14" i="1"/>
  <c r="S6" i="1"/>
  <c r="U6" i="1" s="1"/>
  <c r="S15" i="1"/>
  <c r="S7" i="1"/>
  <c r="R7" i="1" s="1"/>
  <c r="Q7" i="1" s="1"/>
  <c r="R5" i="1"/>
  <c r="Q5" i="1" s="1"/>
  <c r="T23" i="1" l="1"/>
  <c r="B6" i="12"/>
  <c r="B25" i="12" s="1"/>
  <c r="B16" i="12"/>
  <c r="B7" i="12"/>
  <c r="B34" i="3" s="1"/>
  <c r="R12" i="1"/>
  <c r="Q12" i="1" s="1"/>
  <c r="T22" i="1"/>
  <c r="R8" i="1"/>
  <c r="Q8" i="1" s="1"/>
  <c r="U16" i="1"/>
  <c r="T21" i="1"/>
  <c r="E15" i="1"/>
  <c r="Q2" i="1"/>
  <c r="T2" i="1"/>
  <c r="T18" i="1"/>
  <c r="E6" i="1"/>
  <c r="E7" i="12"/>
  <c r="B31" i="3" s="1"/>
  <c r="B3" i="12"/>
  <c r="B29" i="3" s="1"/>
  <c r="B4" i="12"/>
  <c r="U15" i="1"/>
  <c r="E20" i="1"/>
  <c r="T20" i="1"/>
  <c r="R6" i="1"/>
  <c r="Q6" i="1" s="1"/>
  <c r="T13" i="1"/>
  <c r="T3" i="1"/>
  <c r="E14" i="1"/>
  <c r="E16" i="1"/>
  <c r="T16" i="1"/>
  <c r="R15" i="1"/>
  <c r="Q15" i="1" s="1"/>
  <c r="E12" i="1"/>
  <c r="T12" i="1"/>
  <c r="U14" i="1"/>
  <c r="A38" i="3"/>
  <c r="T10" i="1"/>
  <c r="T5" i="1"/>
  <c r="T11" i="1"/>
  <c r="E7" i="1"/>
  <c r="T7" i="1"/>
  <c r="E8" i="1"/>
  <c r="U7" i="1"/>
  <c r="E4" i="1"/>
  <c r="T4" i="1"/>
  <c r="U20" i="1"/>
  <c r="R14" i="1"/>
  <c r="Q14" i="1" s="1"/>
  <c r="B7" i="1"/>
  <c r="T19" i="1"/>
  <c r="B33" i="3" l="1"/>
  <c r="B30" i="3" s="1"/>
  <c r="T8" i="1"/>
  <c r="B26" i="12"/>
  <c r="B29" i="12" s="1"/>
  <c r="B8" i="1"/>
  <c r="B26" i="1" s="1"/>
  <c r="B27" i="3" s="1"/>
  <c r="B24" i="3"/>
  <c r="B5" i="1"/>
  <c r="D34" i="3"/>
  <c r="F34" i="3" s="1"/>
  <c r="G34" i="3" s="1"/>
  <c r="B3" i="1"/>
  <c r="B4" i="1"/>
  <c r="B24" i="1" s="1"/>
  <c r="T14" i="1"/>
  <c r="T6" i="1"/>
  <c r="T15" i="1"/>
  <c r="B26" i="3"/>
  <c r="B25" i="1"/>
  <c r="B24" i="12"/>
  <c r="B28" i="12"/>
  <c r="B17" i="12"/>
  <c r="B28" i="1" l="1"/>
  <c r="B23" i="3"/>
  <c r="D26" i="3" s="1"/>
  <c r="F26" i="3" s="1"/>
  <c r="G26" i="3" s="1"/>
  <c r="A11" i="3"/>
  <c r="B22" i="3"/>
  <c r="B29" i="1"/>
  <c r="D30" i="3"/>
  <c r="F30" i="3"/>
  <c r="G30" i="3" s="1"/>
  <c r="D39" i="3" s="1"/>
  <c r="E31" i="3"/>
  <c r="F31" i="3" s="1"/>
  <c r="G31" i="3" s="1"/>
  <c r="D33" i="3"/>
  <c r="F33" i="3" s="1"/>
  <c r="G33" i="3" s="1"/>
  <c r="D27" i="3" l="1"/>
  <c r="F27" i="3" s="1"/>
  <c r="G27" i="3" s="1"/>
  <c r="A36" i="3"/>
  <c r="A37" i="3"/>
  <c r="F23" i="3"/>
  <c r="G23" i="3" s="1"/>
  <c r="E24" i="3"/>
  <c r="F24" i="3" s="1"/>
  <c r="G24" i="3" s="1"/>
  <c r="D23" i="3"/>
</calcChain>
</file>

<file path=xl/sharedStrings.xml><?xml version="1.0" encoding="utf-8"?>
<sst xmlns="http://schemas.openxmlformats.org/spreadsheetml/2006/main" count="856" uniqueCount="210">
  <si>
    <t>Parameter:</t>
  </si>
  <si>
    <t>Codierung</t>
  </si>
  <si>
    <t>Validität</t>
  </si>
  <si>
    <t>Score</t>
  </si>
  <si>
    <t>Konsistenz</t>
  </si>
  <si>
    <t>richtig-positiv</t>
  </si>
  <si>
    <t>falsch-negativ</t>
  </si>
  <si>
    <t>Anzahl Isolate:</t>
  </si>
  <si>
    <t>richtig-positiv:</t>
  </si>
  <si>
    <t>richtig-negativ</t>
  </si>
  <si>
    <t>falsch-positiv</t>
  </si>
  <si>
    <t>richtig-negativ:</t>
  </si>
  <si>
    <t>falsch-positiv:</t>
  </si>
  <si>
    <t>Datum</t>
  </si>
  <si>
    <t>Methode</t>
  </si>
  <si>
    <t>Gattung</t>
  </si>
  <si>
    <t>Art</t>
  </si>
  <si>
    <t>verwendeter Organismus</t>
  </si>
  <si>
    <t>Version:</t>
  </si>
  <si>
    <t>erstellt von:</t>
  </si>
  <si>
    <t>Validierungsset:</t>
  </si>
  <si>
    <t>Validierungsergebnis</t>
  </si>
  <si>
    <t>erstellt am:</t>
  </si>
  <si>
    <t>Eine unterschriebene Version dieses Validierungsreports befindet sich im erstellenden Labor.</t>
  </si>
  <si>
    <t>geprüft von:</t>
  </si>
  <si>
    <t>geprüft am:</t>
  </si>
  <si>
    <t>am (Datum)</t>
  </si>
  <si>
    <t>von (Hdz.)</t>
  </si>
  <si>
    <t>für (Abteilung / Bereich)</t>
  </si>
  <si>
    <t>Freigabe an Standort</t>
  </si>
  <si>
    <t>als Prüfmethode für Parameter in LIMS eingepflegt</t>
  </si>
  <si>
    <t>Kommentar:</t>
  </si>
  <si>
    <t>verwendete Gattung</t>
  </si>
  <si>
    <t>verwendete Art</t>
  </si>
  <si>
    <t>1. Hit</t>
  </si>
  <si>
    <t>2. Hit</t>
  </si>
  <si>
    <t>1. Hit Treffer Parameter</t>
  </si>
  <si>
    <t>2. Hit Treffer Parameter</t>
  </si>
  <si>
    <t>Parameter wird getroffen mit:</t>
  </si>
  <si>
    <t>nicht zugeordnet</t>
  </si>
  <si>
    <t>falsch zugeordnet</t>
  </si>
  <si>
    <t>falsch als Parameter identifiziert</t>
  </si>
  <si>
    <t>keine richtige ID</t>
  </si>
  <si>
    <t>richtige ID</t>
  </si>
  <si>
    <t>Dyk</t>
  </si>
  <si>
    <t>CVUA S</t>
  </si>
  <si>
    <t>Rau</t>
  </si>
  <si>
    <t>Verwendete Datenbank / Programmversion</t>
  </si>
  <si>
    <t>BT 4.0</t>
  </si>
  <si>
    <t>Inklusivität</t>
  </si>
  <si>
    <t>Exklusivität</t>
  </si>
  <si>
    <t>Richtig-Positiv Rate</t>
  </si>
  <si>
    <t>Falsch-Positiv Rate</t>
  </si>
  <si>
    <t>Falsch-Negativ Rate</t>
  </si>
  <si>
    <t>Richtig-Negativ Rate</t>
  </si>
  <si>
    <t>Identifiziert Rate</t>
  </si>
  <si>
    <t>Zielgerichtete Identifizierung</t>
  </si>
  <si>
    <t>Identifiziert</t>
  </si>
  <si>
    <t>davon Identifiziert</t>
  </si>
  <si>
    <t>erfüllt</t>
  </si>
  <si>
    <t>Ziel-Parameter:</t>
  </si>
  <si>
    <t>Umfeld</t>
  </si>
  <si>
    <t>Anwendung</t>
  </si>
  <si>
    <t>Zahl aller Spektren</t>
  </si>
  <si>
    <t>davon mit ID-Ergebnis</t>
  </si>
  <si>
    <t>davon Eigenspektren</t>
  </si>
  <si>
    <t>Nicht-Ziel-Parameter</t>
  </si>
  <si>
    <t>Test auf spektrale Nähe</t>
  </si>
  <si>
    <t>Anteil nah verwandter Sp</t>
  </si>
  <si>
    <t>SOLL</t>
  </si>
  <si>
    <t xml:space="preserve">Positive Übereinstimmungen (PA) </t>
  </si>
  <si>
    <t>Positive Abweichungen (PD)</t>
  </si>
  <si>
    <r>
      <t>Negative Abweichungen (</t>
    </r>
    <r>
      <rPr>
        <sz val="8"/>
        <color rgb="FFFF0000"/>
        <rFont val="Calibri"/>
        <family val="2"/>
      </rPr>
      <t>ND)</t>
    </r>
  </si>
  <si>
    <t>Negative Übereinstimmungen (NA)</t>
  </si>
  <si>
    <t>Eigenspektrum</t>
  </si>
  <si>
    <t>Eigen ID</t>
  </si>
  <si>
    <t>sind somit</t>
  </si>
  <si>
    <t>Die Kriterien für die</t>
  </si>
  <si>
    <t>In Bezug auf Identifizierte:</t>
  </si>
  <si>
    <t>von allen identifizierten Isolaten</t>
  </si>
  <si>
    <t>nicht identifiziert:</t>
  </si>
  <si>
    <t>PM unter den ersten 2 Hits</t>
  </si>
  <si>
    <t>nicht identifiziert in %</t>
  </si>
  <si>
    <t>falsch zugeordnert in %</t>
  </si>
  <si>
    <t>in %</t>
  </si>
  <si>
    <t>Test auf spektrale Nähe zum Parameter</t>
  </si>
  <si>
    <t>Scorewertgrenzen:</t>
  </si>
  <si>
    <t>Species</t>
  </si>
  <si>
    <t>Genus</t>
  </si>
  <si>
    <t>Es werden nur identifizierte Proben für die Ermittlung der In- und Exklusivität herangezogen.</t>
  </si>
  <si>
    <t>Falsch-negativ: Kriterien für richtig-positiv werden nicht erfüllt</t>
  </si>
  <si>
    <t>nach den Leitlinien zur MALDI-Validierung der §64 AG MALDI am BVL, 12.04.2021</t>
  </si>
  <si>
    <t>Gattung (Genus)</t>
  </si>
  <si>
    <t>Art (Spezies)</t>
  </si>
  <si>
    <t>Score zur Unterscheidung der Spezies</t>
  </si>
  <si>
    <t>Score zur Unterscheidung der Gattung</t>
  </si>
  <si>
    <t>Settings für die Validierung</t>
  </si>
  <si>
    <t>Institution / Labor</t>
  </si>
  <si>
    <t>Parameter</t>
  </si>
  <si>
    <t>Unterscheidungsgrenzen</t>
  </si>
  <si>
    <t>Es wird gegen eine nur aus dem Parameter bestehende DB geprüft.</t>
  </si>
  <si>
    <t>Es wird die gesamte zu überprüfende Datenbank verwendet.</t>
  </si>
  <si>
    <t>Das Verfahren ist für den vorgesehenen Einsatzzweck geeignet und zur Verwendung freigegeben.</t>
  </si>
  <si>
    <t>Vaccinium</t>
  </si>
  <si>
    <t>TX 192.3</t>
  </si>
  <si>
    <t>2; expert opinion</t>
  </si>
  <si>
    <t>Plant extr.-R</t>
  </si>
  <si>
    <t>myrtillus</t>
  </si>
  <si>
    <t>TX 469.2</t>
  </si>
  <si>
    <t>2; label; sensory analysis</t>
  </si>
  <si>
    <t>TX 507.2</t>
  </si>
  <si>
    <t>Plant extr.-RL40</t>
  </si>
  <si>
    <t>TX 550.2</t>
  </si>
  <si>
    <t>TX 571.2</t>
  </si>
  <si>
    <t>TX 572.2</t>
  </si>
  <si>
    <t>2; label; sensory analysis; Biomarker</t>
  </si>
  <si>
    <t>TX 607.2</t>
  </si>
  <si>
    <t>TX 622</t>
  </si>
  <si>
    <t>3; botanical collection</t>
  </si>
  <si>
    <t>TX 623</t>
  </si>
  <si>
    <t>TX 624</t>
  </si>
  <si>
    <t>TX 625</t>
  </si>
  <si>
    <t>TX 626</t>
  </si>
  <si>
    <t>TX 627</t>
  </si>
  <si>
    <t>TX 628</t>
  </si>
  <si>
    <t>TX 629</t>
  </si>
  <si>
    <t>TX 630</t>
  </si>
  <si>
    <t>TX 631</t>
  </si>
  <si>
    <t>TX 632</t>
  </si>
  <si>
    <t>TX 633</t>
  </si>
  <si>
    <t>TX 635</t>
  </si>
  <si>
    <t>TX 636</t>
  </si>
  <si>
    <t>TX 637</t>
  </si>
  <si>
    <t>3; determination by expert</t>
  </si>
  <si>
    <t>Plant extr.</t>
  </si>
  <si>
    <t>Abrus</t>
  </si>
  <si>
    <t>precatorius</t>
  </si>
  <si>
    <t>TX 006</t>
  </si>
  <si>
    <t>TX 584.2</t>
  </si>
  <si>
    <t>Ribes</t>
  </si>
  <si>
    <t>rubrum</t>
  </si>
  <si>
    <t>TX 587.2</t>
  </si>
  <si>
    <t>TX 588.2</t>
  </si>
  <si>
    <t>TX 590.2</t>
  </si>
  <si>
    <t>TX 591.2</t>
  </si>
  <si>
    <t>TX 593.2</t>
  </si>
  <si>
    <t>TX 594.2</t>
  </si>
  <si>
    <t>1; label</t>
  </si>
  <si>
    <t>TX 468.2</t>
  </si>
  <si>
    <t>sect.</t>
  </si>
  <si>
    <t>TX 470.2</t>
  </si>
  <si>
    <t>TX 492.2</t>
  </si>
  <si>
    <t>TX 501.2</t>
  </si>
  <si>
    <t>Plant extr.-AceR</t>
  </si>
  <si>
    <t>TX 502.2</t>
  </si>
  <si>
    <t>TX 503.2</t>
  </si>
  <si>
    <t>TX 504.2</t>
  </si>
  <si>
    <t>TX 505.2</t>
  </si>
  <si>
    <t>TX 506.2</t>
  </si>
  <si>
    <t>TX 508.2</t>
  </si>
  <si>
    <t>TX 509.2</t>
  </si>
  <si>
    <t>TX 510.2</t>
  </si>
  <si>
    <t>TX 511.2</t>
  </si>
  <si>
    <t>TX 512.2</t>
  </si>
  <si>
    <t>TX 513.2</t>
  </si>
  <si>
    <t>TX 514.2</t>
  </si>
  <si>
    <t>TX 573.2</t>
  </si>
  <si>
    <t>TX 604.2</t>
  </si>
  <si>
    <t>TX 639</t>
  </si>
  <si>
    <t>vitis-idaea</t>
  </si>
  <si>
    <t>TX 640</t>
  </si>
  <si>
    <t>TX 641</t>
  </si>
  <si>
    <t>Abrus precatorius</t>
  </si>
  <si>
    <t>Ribes rubrum</t>
  </si>
  <si>
    <t>Vaccinium sect.</t>
  </si>
  <si>
    <t>Vaccinium vitis-idaea</t>
  </si>
  <si>
    <t>Kultivierungsbedingungen bei Mikroorganismen: -</t>
  </si>
  <si>
    <t>Zustand der Probe bei sonstigen Materialien: gefroren, frisch, getrocknet</t>
  </si>
  <si>
    <t>Aufreinigungsmethode: Plant extr.-R</t>
  </si>
  <si>
    <t>TX 599.2</t>
  </si>
  <si>
    <t>nigrum</t>
  </si>
  <si>
    <t>TX 603.2</t>
  </si>
  <si>
    <t>TX 585.2</t>
  </si>
  <si>
    <t>TX 589.2</t>
  </si>
  <si>
    <t>eDT</t>
  </si>
  <si>
    <t>TX 600.2</t>
  </si>
  <si>
    <t>Ribes nigrum</t>
  </si>
  <si>
    <t>TX 003</t>
  </si>
  <si>
    <t>TX 443.3</t>
  </si>
  <si>
    <t>Lycium</t>
  </si>
  <si>
    <t>barbarum</t>
  </si>
  <si>
    <t>europaeum</t>
  </si>
  <si>
    <t>TX 447.3</t>
  </si>
  <si>
    <t>chinense</t>
  </si>
  <si>
    <t>TX 449.3</t>
  </si>
  <si>
    <t>TX 575.2</t>
  </si>
  <si>
    <t>macrocarpon</t>
  </si>
  <si>
    <t>TX 576.2</t>
  </si>
  <si>
    <t>TX 638</t>
  </si>
  <si>
    <t>uliginosum</t>
  </si>
  <si>
    <t>Lycium barbarum</t>
  </si>
  <si>
    <t>Lycium chinense</t>
  </si>
  <si>
    <t>Lycium europaeum</t>
  </si>
  <si>
    <t>Vaccinium macrocarpon</t>
  </si>
  <si>
    <t>Vaccinium uliginosum</t>
  </si>
  <si>
    <t>Pflanzen DB (196 MSPs)</t>
  </si>
  <si>
    <t>Pflanzenmaterialien (Samen), auch aus Lebensmitteln</t>
  </si>
  <si>
    <t>unverarbeitete und verarbetete Lebensmittel mit Fruchtanteilen</t>
  </si>
  <si>
    <t>andere Pflanzenmaterialien incl. Früchte und Beeren</t>
  </si>
  <si>
    <t>T, G, 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</si>
</sst>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%"/>
    <numFmt numFmtId="166" formatCode="0.0"/>
  </numFmts>
  <fonts count="45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Arial"/>
      <family val="2"/>
    </font>
    <font>
      <sz val="11"/>
      <color rgb="FFFF0000"/>
      <name val="Arial"/>
      <family val="2"/>
    </font>
    <font>
      <i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FF0000"/>
      <name val="Calibri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rgb="FF0070C0"/>
      <name val="Calibri"/>
      <family val="2"/>
      <scheme val="minor"/>
    </font>
    <font>
      <sz val="16"/>
      <color theme="1"/>
      <name val="Arial"/>
      <family val="2"/>
    </font>
    <font>
      <b/>
      <sz val="14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" fillId="0" borderId="0"/>
  </cellStyleXfs>
  <cellXfs count="236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4" borderId="2" xfId="0" applyFont="1" applyFill="1" applyBorder="1"/>
    <xf numFmtId="0" fontId="2" fillId="4" borderId="2" xfId="0" applyFont="1" applyFill="1" applyBorder="1"/>
    <xf numFmtId="0" fontId="3" fillId="4" borderId="1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0" fontId="6" fillId="0" borderId="0" xfId="0" applyFont="1" applyFill="1" applyBorder="1"/>
    <xf numFmtId="0" fontId="2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9" fontId="2" fillId="4" borderId="3" xfId="1" applyFont="1" applyFill="1" applyBorder="1" applyAlignment="1">
      <alignment horizontal="center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/>
    <xf numFmtId="0" fontId="5" fillId="0" borderId="1" xfId="0" applyFont="1" applyBorder="1"/>
    <xf numFmtId="164" fontId="5" fillId="0" borderId="1" xfId="0" applyNumberFormat="1" applyFont="1" applyBorder="1"/>
    <xf numFmtId="0" fontId="2" fillId="4" borderId="1" xfId="0" applyFont="1" applyFill="1" applyBorder="1"/>
    <xf numFmtId="14" fontId="5" fillId="0" borderId="1" xfId="0" applyNumberFormat="1" applyFont="1" applyBorder="1"/>
    <xf numFmtId="0" fontId="10" fillId="4" borderId="1" xfId="0" applyFont="1" applyFill="1" applyBorder="1"/>
    <xf numFmtId="0" fontId="2" fillId="0" borderId="0" xfId="0" applyFont="1" applyAlignment="1">
      <alignment horizontal="left" vertical="center"/>
    </xf>
    <xf numFmtId="0" fontId="2" fillId="4" borderId="6" xfId="0" applyFont="1" applyFill="1" applyBorder="1"/>
    <xf numFmtId="0" fontId="2" fillId="4" borderId="7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left"/>
    </xf>
    <xf numFmtId="0" fontId="2" fillId="6" borderId="6" xfId="0" applyFont="1" applyFill="1" applyBorder="1"/>
    <xf numFmtId="0" fontId="2" fillId="5" borderId="6" xfId="0" applyFont="1" applyFill="1" applyBorder="1"/>
    <xf numFmtId="0" fontId="2" fillId="0" borderId="0" xfId="0" applyFont="1" applyFill="1" applyBorder="1" applyAlignment="1">
      <alignment horizontal="left"/>
    </xf>
    <xf numFmtId="9" fontId="2" fillId="0" borderId="0" xfId="1" applyFont="1"/>
    <xf numFmtId="165" fontId="2" fillId="0" borderId="0" xfId="1" applyNumberFormat="1" applyFont="1" applyAlignment="1">
      <alignment horizontal="center"/>
    </xf>
    <xf numFmtId="0" fontId="2" fillId="1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4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right" vertical="center"/>
    </xf>
    <xf numFmtId="0" fontId="18" fillId="11" borderId="11" xfId="0" applyFont="1" applyFill="1" applyBorder="1" applyAlignment="1">
      <alignment horizontal="right" vertical="center"/>
    </xf>
    <xf numFmtId="0" fontId="2" fillId="11" borderId="11" xfId="0" applyFont="1" applyFill="1" applyBorder="1" applyAlignment="1">
      <alignment horizontal="left" vertical="center"/>
    </xf>
    <xf numFmtId="0" fontId="17" fillId="11" borderId="0" xfId="0" applyFont="1" applyFill="1" applyBorder="1" applyAlignment="1">
      <alignment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left" vertical="center"/>
    </xf>
    <xf numFmtId="0" fontId="16" fillId="11" borderId="9" xfId="0" applyFont="1" applyFill="1" applyBorder="1" applyAlignment="1">
      <alignment vertical="center"/>
    </xf>
    <xf numFmtId="165" fontId="16" fillId="11" borderId="0" xfId="1" applyNumberFormat="1" applyFont="1" applyFill="1" applyBorder="1" applyAlignment="1">
      <alignment vertical="center"/>
    </xf>
    <xf numFmtId="0" fontId="17" fillId="11" borderId="0" xfId="0" applyFont="1" applyFill="1" applyBorder="1" applyAlignment="1">
      <alignment horizontal="right" vertical="center"/>
    </xf>
    <xf numFmtId="0" fontId="2" fillId="11" borderId="9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15" fillId="11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left" vertical="center"/>
    </xf>
    <xf numFmtId="165" fontId="3" fillId="11" borderId="0" xfId="0" applyNumberFormat="1" applyFont="1" applyFill="1" applyBorder="1" applyAlignment="1">
      <alignment vertical="center"/>
    </xf>
    <xf numFmtId="9" fontId="8" fillId="11" borderId="9" xfId="1" applyNumberFormat="1" applyFont="1" applyFill="1" applyBorder="1" applyAlignment="1">
      <alignment horizontal="center" vertical="center"/>
    </xf>
    <xf numFmtId="0" fontId="20" fillId="11" borderId="12" xfId="0" applyFont="1" applyFill="1" applyBorder="1" applyAlignment="1">
      <alignment vertical="center"/>
    </xf>
    <xf numFmtId="9" fontId="3" fillId="11" borderId="8" xfId="0" applyNumberFormat="1" applyFont="1" applyFill="1" applyBorder="1" applyAlignment="1">
      <alignment vertical="center"/>
    </xf>
    <xf numFmtId="165" fontId="3" fillId="11" borderId="12" xfId="0" applyNumberFormat="1" applyFont="1" applyFill="1" applyBorder="1" applyAlignment="1">
      <alignment vertical="center"/>
    </xf>
    <xf numFmtId="9" fontId="8" fillId="11" borderId="8" xfId="1" applyNumberFormat="1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left" vertical="center"/>
    </xf>
    <xf numFmtId="0" fontId="8" fillId="9" borderId="0" xfId="0" applyFont="1" applyFill="1" applyAlignment="1">
      <alignment vertical="center"/>
    </xf>
    <xf numFmtId="0" fontId="16" fillId="9" borderId="9" xfId="0" applyFont="1" applyFill="1" applyBorder="1" applyAlignment="1">
      <alignment vertical="center"/>
    </xf>
    <xf numFmtId="165" fontId="16" fillId="9" borderId="0" xfId="1" applyNumberFormat="1" applyFont="1" applyFill="1" applyBorder="1" applyAlignment="1">
      <alignment vertical="center"/>
    </xf>
    <xf numFmtId="0" fontId="8" fillId="9" borderId="9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right" vertical="center"/>
    </xf>
    <xf numFmtId="0" fontId="14" fillId="9" borderId="9" xfId="0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0" fontId="15" fillId="9" borderId="0" xfId="0" applyFont="1" applyFill="1" applyBorder="1" applyAlignment="1">
      <alignment horizontal="left" vertical="center"/>
    </xf>
    <xf numFmtId="0" fontId="22" fillId="9" borderId="0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/>
    </xf>
    <xf numFmtId="9" fontId="8" fillId="9" borderId="9" xfId="1" applyNumberFormat="1" applyFont="1" applyFill="1" applyBorder="1" applyAlignment="1">
      <alignment horizontal="center" vertical="center"/>
    </xf>
    <xf numFmtId="0" fontId="20" fillId="9" borderId="12" xfId="0" applyFont="1" applyFill="1" applyBorder="1" applyAlignment="1">
      <alignment vertical="center"/>
    </xf>
    <xf numFmtId="0" fontId="3" fillId="9" borderId="8" xfId="0" applyFont="1" applyFill="1" applyBorder="1" applyAlignment="1">
      <alignment vertical="center"/>
    </xf>
    <xf numFmtId="165" fontId="3" fillId="9" borderId="12" xfId="0" applyNumberFormat="1" applyFont="1" applyFill="1" applyBorder="1" applyAlignment="1">
      <alignment vertical="center"/>
    </xf>
    <xf numFmtId="9" fontId="8" fillId="9" borderId="8" xfId="1" applyNumberFormat="1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25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25" fillId="11" borderId="0" xfId="0" applyFont="1" applyFill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right" vertical="center"/>
    </xf>
    <xf numFmtId="0" fontId="17" fillId="9" borderId="7" xfId="0" applyFont="1" applyFill="1" applyBorder="1" applyAlignment="1">
      <alignment vertical="center"/>
    </xf>
    <xf numFmtId="0" fontId="13" fillId="11" borderId="8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29" fillId="9" borderId="9" xfId="0" applyFont="1" applyFill="1" applyBorder="1" applyAlignment="1">
      <alignment horizontal="center" vertical="center"/>
    </xf>
    <xf numFmtId="0" fontId="29" fillId="11" borderId="9" xfId="0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horizontal="center" vertical="center"/>
    </xf>
    <xf numFmtId="1" fontId="11" fillId="11" borderId="9" xfId="0" applyNumberFormat="1" applyFont="1" applyFill="1" applyBorder="1" applyAlignment="1">
      <alignment horizontal="center" vertical="center"/>
    </xf>
    <xf numFmtId="0" fontId="2" fillId="12" borderId="0" xfId="0" applyFont="1" applyFill="1" applyAlignment="1">
      <alignment horizontal="left" vertical="center"/>
    </xf>
    <xf numFmtId="0" fontId="8" fillId="12" borderId="0" xfId="0" applyFont="1" applyFill="1" applyBorder="1" applyAlignment="1">
      <alignment horizontal="left" vertical="center"/>
    </xf>
    <xf numFmtId="0" fontId="12" fillId="12" borderId="0" xfId="0" applyFont="1" applyFill="1" applyAlignment="1">
      <alignment horizontal="left" vertical="center"/>
    </xf>
    <xf numFmtId="0" fontId="3" fillId="10" borderId="0" xfId="0" applyFont="1" applyFill="1" applyAlignment="1">
      <alignment vertical="center"/>
    </xf>
    <xf numFmtId="0" fontId="3" fillId="10" borderId="12" xfId="0" applyFont="1" applyFill="1" applyBorder="1" applyAlignment="1">
      <alignment vertical="center"/>
    </xf>
    <xf numFmtId="0" fontId="12" fillId="10" borderId="0" xfId="0" applyFont="1" applyFill="1" applyAlignment="1">
      <alignment vertical="center"/>
    </xf>
    <xf numFmtId="0" fontId="13" fillId="10" borderId="0" xfId="0" applyFont="1" applyFill="1" applyAlignment="1">
      <alignment vertical="center"/>
    </xf>
    <xf numFmtId="9" fontId="8" fillId="10" borderId="12" xfId="0" applyNumberFormat="1" applyFont="1" applyFill="1" applyBorder="1" applyAlignment="1">
      <alignment horizontal="left" vertical="top" wrapText="1"/>
    </xf>
    <xf numFmtId="0" fontId="0" fillId="10" borderId="12" xfId="0" applyFill="1" applyBorder="1" applyAlignment="1">
      <alignment horizontal="left"/>
    </xf>
    <xf numFmtId="0" fontId="24" fillId="10" borderId="8" xfId="0" applyFont="1" applyFill="1" applyBorder="1" applyAlignment="1">
      <alignment horizontal="center" vertical="center"/>
    </xf>
    <xf numFmtId="0" fontId="24" fillId="10" borderId="12" xfId="0" applyFont="1" applyFill="1" applyBorder="1" applyAlignment="1">
      <alignment horizontal="left" vertical="center"/>
    </xf>
    <xf numFmtId="0" fontId="13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vertical="center"/>
    </xf>
    <xf numFmtId="14" fontId="13" fillId="10" borderId="12" xfId="0" applyNumberFormat="1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left" vertical="center"/>
    </xf>
    <xf numFmtId="0" fontId="9" fillId="9" borderId="9" xfId="0" applyFont="1" applyFill="1" applyBorder="1" applyAlignment="1">
      <alignment horizontal="center" vertical="center"/>
    </xf>
    <xf numFmtId="0" fontId="2" fillId="7" borderId="4" xfId="0" applyFont="1" applyFill="1" applyBorder="1"/>
    <xf numFmtId="0" fontId="31" fillId="3" borderId="2" xfId="0" applyFont="1" applyFill="1" applyBorder="1"/>
    <xf numFmtId="0" fontId="31" fillId="3" borderId="7" xfId="0" applyFont="1" applyFill="1" applyBorder="1" applyAlignment="1">
      <alignment horizontal="center"/>
    </xf>
    <xf numFmtId="165" fontId="31" fillId="3" borderId="5" xfId="0" applyNumberFormat="1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/>
    </xf>
    <xf numFmtId="0" fontId="10" fillId="0" borderId="0" xfId="0" applyFont="1"/>
    <xf numFmtId="0" fontId="10" fillId="2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32" fillId="13" borderId="6" xfId="0" applyFont="1" applyFill="1" applyBorder="1"/>
    <xf numFmtId="0" fontId="32" fillId="13" borderId="7" xfId="0" applyFont="1" applyFill="1" applyBorder="1" applyAlignment="1">
      <alignment horizontal="center" vertical="center"/>
    </xf>
    <xf numFmtId="0" fontId="13" fillId="0" borderId="0" xfId="0" applyFont="1"/>
    <xf numFmtId="165" fontId="13" fillId="0" borderId="0" xfId="1" applyNumberFormat="1" applyFont="1" applyAlignment="1">
      <alignment horizontal="center"/>
    </xf>
    <xf numFmtId="0" fontId="33" fillId="0" borderId="0" xfId="0" applyFont="1"/>
    <xf numFmtId="165" fontId="33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4" fillId="8" borderId="4" xfId="0" applyFont="1" applyFill="1" applyBorder="1" applyAlignment="1">
      <alignment horizontal="left" vertical="center"/>
    </xf>
    <xf numFmtId="0" fontId="28" fillId="8" borderId="2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vertical="center"/>
    </xf>
    <xf numFmtId="165" fontId="24" fillId="8" borderId="4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2" fillId="14" borderId="6" xfId="0" applyFont="1" applyFill="1" applyBorder="1"/>
    <xf numFmtId="166" fontId="2" fillId="14" borderId="7" xfId="0" applyNumberFormat="1" applyFont="1" applyFill="1" applyBorder="1"/>
    <xf numFmtId="0" fontId="2" fillId="14" borderId="8" xfId="0" applyFont="1" applyFill="1" applyBorder="1"/>
    <xf numFmtId="0" fontId="2" fillId="14" borderId="5" xfId="0" applyFont="1" applyFill="1" applyBorder="1"/>
    <xf numFmtId="0" fontId="2" fillId="11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9" borderId="0" xfId="0" applyFont="1" applyFill="1" applyAlignment="1">
      <alignment horizontal="left" vertical="center"/>
    </xf>
    <xf numFmtId="0" fontId="11" fillId="9" borderId="0" xfId="0" applyFont="1" applyFill="1" applyAlignment="1">
      <alignment vertical="center"/>
    </xf>
    <xf numFmtId="0" fontId="16" fillId="11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0" fillId="4" borderId="0" xfId="0" applyFill="1"/>
    <xf numFmtId="0" fontId="3" fillId="4" borderId="12" xfId="0" applyFont="1" applyFill="1" applyBorder="1" applyAlignment="1">
      <alignment vertical="center"/>
    </xf>
    <xf numFmtId="0" fontId="0" fillId="4" borderId="12" xfId="0" applyFill="1" applyBorder="1"/>
    <xf numFmtId="0" fontId="0" fillId="4" borderId="0" xfId="0" applyFill="1" applyBorder="1"/>
    <xf numFmtId="0" fontId="38" fillId="4" borderId="0" xfId="0" applyFont="1" applyFill="1" applyBorder="1"/>
    <xf numFmtId="164" fontId="39" fillId="0" borderId="0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166" fontId="10" fillId="14" borderId="7" xfId="0" applyNumberFormat="1" applyFont="1" applyFill="1" applyBorder="1"/>
    <xf numFmtId="0" fontId="10" fillId="14" borderId="5" xfId="0" applyFont="1" applyFill="1" applyBorder="1"/>
    <xf numFmtId="0" fontId="9" fillId="4" borderId="4" xfId="0" applyFont="1" applyFill="1" applyBorder="1" applyAlignment="1">
      <alignment horizontal="right"/>
    </xf>
    <xf numFmtId="0" fontId="9" fillId="4" borderId="3" xfId="0" applyFont="1" applyFill="1" applyBorder="1"/>
    <xf numFmtId="0" fontId="10" fillId="0" borderId="1" xfId="0" applyFont="1" applyFill="1" applyBorder="1" applyAlignment="1">
      <alignment vertical="center"/>
    </xf>
    <xf numFmtId="0" fontId="37" fillId="10" borderId="0" xfId="0" applyFont="1" applyFill="1" applyBorder="1" applyAlignment="1">
      <alignment horizontal="right"/>
    </xf>
    <xf numFmtId="0" fontId="37" fillId="10" borderId="0" xfId="0" applyFont="1" applyFill="1" applyBorder="1"/>
    <xf numFmtId="0" fontId="0" fillId="10" borderId="0" xfId="0" applyFill="1" applyBorder="1"/>
    <xf numFmtId="0" fontId="5" fillId="0" borderId="0" xfId="0" applyFont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5" fillId="0" borderId="0" xfId="0" applyFont="1"/>
    <xf numFmtId="0" fontId="9" fillId="0" borderId="0" xfId="0" applyFont="1"/>
    <xf numFmtId="0" fontId="10" fillId="4" borderId="1" xfId="0" applyFont="1" applyFill="1" applyBorder="1" applyAlignment="1"/>
    <xf numFmtId="0" fontId="10" fillId="4" borderId="1" xfId="0" applyFont="1" applyFill="1" applyBorder="1" applyAlignment="1">
      <alignment horizontal="right" vertical="center"/>
    </xf>
    <xf numFmtId="0" fontId="43" fillId="12" borderId="0" xfId="0" applyFont="1" applyFill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Border="1" applyAlignment="1"/>
    <xf numFmtId="0" fontId="35" fillId="4" borderId="0" xfId="0" applyFont="1" applyFill="1" applyAlignment="1">
      <alignment horizontal="center" vertical="center"/>
    </xf>
    <xf numFmtId="0" fontId="31" fillId="3" borderId="6" xfId="0" applyFont="1" applyFill="1" applyBorder="1" applyAlignment="1">
      <alignment horizontal="left" vertical="top" wrapText="1"/>
    </xf>
    <xf numFmtId="0" fontId="31" fillId="3" borderId="8" xfId="0" applyFont="1" applyFill="1" applyBorder="1" applyAlignment="1">
      <alignment horizontal="left" vertical="top" wrapText="1"/>
    </xf>
    <xf numFmtId="0" fontId="8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21" fillId="10" borderId="0" xfId="0" applyFont="1" applyFill="1" applyAlignment="1">
      <alignment vertical="center"/>
    </xf>
    <xf numFmtId="0" fontId="27" fillId="1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10" borderId="0" xfId="0" applyFont="1" applyFill="1" applyAlignment="1">
      <alignment horizontal="left" vertical="top"/>
    </xf>
    <xf numFmtId="0" fontId="3" fillId="9" borderId="8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1" fillId="9" borderId="9" xfId="0" applyFont="1" applyFill="1" applyBorder="1" applyAlignment="1">
      <alignment horizontal="left" wrapText="1"/>
    </xf>
    <xf numFmtId="0" fontId="11" fillId="9" borderId="0" xfId="0" applyFont="1" applyFill="1" applyBorder="1" applyAlignment="1">
      <alignment horizontal="left" wrapText="1"/>
    </xf>
    <xf numFmtId="0" fontId="1" fillId="9" borderId="0" xfId="0" applyFont="1" applyFill="1" applyAlignment="1">
      <alignment horizontal="left"/>
    </xf>
    <xf numFmtId="0" fontId="11" fillId="11" borderId="9" xfId="0" applyFont="1" applyFill="1" applyBorder="1" applyAlignment="1">
      <alignment horizontal="left" vertical="center" wrapText="1"/>
    </xf>
    <xf numFmtId="0" fontId="11" fillId="11" borderId="0" xfId="0" applyFont="1" applyFill="1" applyBorder="1" applyAlignment="1">
      <alignment horizontal="left" vertical="center" wrapText="1"/>
    </xf>
    <xf numFmtId="0" fontId="34" fillId="8" borderId="8" xfId="0" applyFont="1" applyFill="1" applyBorder="1" applyAlignment="1">
      <alignment horizontal="left" vertical="center" wrapText="1"/>
    </xf>
    <xf numFmtId="0" fontId="34" fillId="8" borderId="12" xfId="0" applyFont="1" applyFill="1" applyBorder="1" applyAlignment="1">
      <alignment horizontal="left" vertical="center" wrapText="1"/>
    </xf>
    <xf numFmtId="9" fontId="8" fillId="11" borderId="12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10" borderId="12" xfId="0" applyFont="1" applyFill="1" applyBorder="1" applyAlignment="1">
      <alignment horizontal="left" vertical="center" wrapText="1"/>
    </xf>
    <xf numFmtId="9" fontId="8" fillId="9" borderId="12" xfId="0" applyNumberFormat="1" applyFont="1" applyFill="1" applyBorder="1" applyAlignment="1">
      <alignment horizontal="left" vertical="top" wrapText="1"/>
    </xf>
    <xf numFmtId="9" fontId="8" fillId="9" borderId="0" xfId="0" applyNumberFormat="1" applyFont="1" applyFill="1" applyBorder="1" applyAlignment="1">
      <alignment horizontal="left" vertical="top" wrapText="1"/>
    </xf>
    <xf numFmtId="9" fontId="8" fillId="11" borderId="0" xfId="0" applyNumberFormat="1" applyFont="1" applyFill="1" applyBorder="1" applyAlignment="1">
      <alignment horizontal="left" vertical="top" wrapText="1"/>
    </xf>
    <xf numFmtId="14" fontId="13" fillId="10" borderId="12" xfId="0" applyNumberFormat="1" applyFont="1" applyFill="1" applyBorder="1" applyAlignment="1">
      <alignment horizontal="left" vertical="center"/>
    </xf>
    <xf numFmtId="0" fontId="0" fillId="10" borderId="12" xfId="0" applyFill="1" applyBorder="1" applyAlignment="1">
      <alignment horizontal="left" vertical="center"/>
    </xf>
    <xf numFmtId="0" fontId="13" fillId="10" borderId="0" xfId="0" applyFont="1" applyFill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2" fillId="11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left" vertical="center"/>
    </xf>
    <xf numFmtId="0" fontId="16" fillId="11" borderId="0" xfId="0" applyFont="1" applyFill="1" applyBorder="1" applyAlignment="1">
      <alignment vertical="center"/>
    </xf>
    <xf numFmtId="0" fontId="7" fillId="11" borderId="0" xfId="0" applyFont="1" applyFill="1" applyAlignment="1">
      <alignment horizontal="center" vertical="center"/>
    </xf>
    <xf numFmtId="0" fontId="26" fillId="11" borderId="0" xfId="0" applyFont="1" applyFill="1" applyAlignment="1">
      <alignment vertical="center"/>
    </xf>
    <xf numFmtId="0" fontId="30" fillId="10" borderId="0" xfId="0" applyFont="1" applyFill="1" applyAlignment="1">
      <alignment vertical="center"/>
    </xf>
    <xf numFmtId="0" fontId="11" fillId="11" borderId="0" xfId="0" applyFont="1" applyFill="1" applyAlignment="1">
      <alignment horizontal="left" vertical="center"/>
    </xf>
    <xf numFmtId="0" fontId="0" fillId="11" borderId="0" xfId="0" applyFill="1" applyAlignment="1">
      <alignment horizontal="left" vertical="center"/>
    </xf>
  </cellXfs>
  <cellStyles count="3">
    <cellStyle name="Prozent" xfId="1" builtinId="5"/>
    <cellStyle name="Standard" xfId="0" builtinId="0"/>
    <cellStyle name="Standard 2" xfId="2"/>
  </cellStyles>
  <dxfs count="89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B3F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1</xdr:col>
          <xdr:colOff>1143000</xdr:colOff>
          <xdr:row>12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in dieser Matrix vorkommen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9525</xdr:rowOff>
        </xdr:from>
        <xdr:to>
          <xdr:col>5</xdr:col>
          <xdr:colOff>219075</xdr:colOff>
          <xdr:row>12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auf diesem Agar wachsen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9525</xdr:rowOff>
        </xdr:from>
        <xdr:to>
          <xdr:col>3</xdr:col>
          <xdr:colOff>600075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Vergleichsisolate/-materialien, die ähnliche Spektren liefern können (siehe Blatt "Ähnliche zu Parameter").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9525</xdr:rowOff>
        </xdr:from>
        <xdr:to>
          <xdr:col>2</xdr:col>
          <xdr:colOff>561975</xdr:colOff>
          <xdr:row>45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9525</xdr:rowOff>
        </xdr:from>
        <xdr:to>
          <xdr:col>3</xdr:col>
          <xdr:colOff>561975</xdr:colOff>
          <xdr:row>45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7" sqref="E7"/>
    </sheetView>
  </sheetViews>
  <sheetFormatPr baseColWidth="10" defaultRowHeight="14.25" x14ac:dyDescent="0.2"/>
  <cols>
    <col min="3" max="3" width="14.5" customWidth="1"/>
    <col min="5" max="5" width="14.5" customWidth="1"/>
  </cols>
  <sheetData>
    <row r="1" spans="1:6" ht="21" x14ac:dyDescent="0.2">
      <c r="A1" s="191" t="s">
        <v>96</v>
      </c>
      <c r="B1" s="191"/>
      <c r="C1" s="191"/>
      <c r="D1" s="191"/>
      <c r="E1" s="191"/>
      <c r="F1" s="191"/>
    </row>
    <row r="2" spans="1:6" ht="15" x14ac:dyDescent="0.2">
      <c r="A2" s="187" t="s">
        <v>56</v>
      </c>
      <c r="B2" s="187"/>
      <c r="C2" s="187"/>
      <c r="D2" s="187"/>
      <c r="E2" s="188"/>
      <c r="F2" s="188"/>
    </row>
    <row r="3" spans="1:6" ht="15" x14ac:dyDescent="0.2">
      <c r="A3" s="154" t="s">
        <v>91</v>
      </c>
      <c r="B3" s="154"/>
      <c r="C3" s="154"/>
      <c r="D3" s="154"/>
      <c r="E3" s="150"/>
      <c r="F3" s="150"/>
    </row>
    <row r="4" spans="1:6" ht="21" x14ac:dyDescent="0.3">
      <c r="A4" s="155" t="s">
        <v>97</v>
      </c>
      <c r="B4" s="157"/>
      <c r="C4" s="189" t="s">
        <v>45</v>
      </c>
      <c r="D4" s="190"/>
      <c r="E4" s="190"/>
      <c r="F4" s="190"/>
    </row>
    <row r="5" spans="1:6" x14ac:dyDescent="0.2">
      <c r="A5" s="157"/>
      <c r="B5" s="157"/>
      <c r="C5" s="157"/>
      <c r="D5" s="157"/>
      <c r="E5" s="157"/>
      <c r="F5" s="157"/>
    </row>
    <row r="6" spans="1:6" ht="15" x14ac:dyDescent="0.2">
      <c r="A6" s="158" t="s">
        <v>98</v>
      </c>
      <c r="B6" s="159"/>
      <c r="C6" s="184" t="s">
        <v>92</v>
      </c>
      <c r="D6" s="185"/>
      <c r="E6" s="186" t="s">
        <v>93</v>
      </c>
      <c r="F6" s="185"/>
    </row>
    <row r="7" spans="1:6" ht="21" x14ac:dyDescent="0.35">
      <c r="A7" s="157"/>
      <c r="B7" s="157"/>
      <c r="C7" s="157"/>
      <c r="D7" s="169" t="s">
        <v>103</v>
      </c>
      <c r="E7" s="170" t="s">
        <v>107</v>
      </c>
      <c r="F7" s="171"/>
    </row>
    <row r="8" spans="1:6" ht="20.25" x14ac:dyDescent="0.3">
      <c r="A8" s="157"/>
      <c r="B8" s="157"/>
      <c r="C8" s="157"/>
      <c r="D8" s="161"/>
      <c r="E8" s="161"/>
      <c r="F8" s="160"/>
    </row>
    <row r="9" spans="1:6" ht="15" x14ac:dyDescent="0.2">
      <c r="A9" s="155" t="s">
        <v>99</v>
      </c>
      <c r="B9" s="157"/>
      <c r="C9" s="157"/>
      <c r="D9" s="157"/>
      <c r="E9" s="157"/>
      <c r="F9" s="157"/>
    </row>
    <row r="10" spans="1:6" ht="48" customHeight="1" x14ac:dyDescent="0.2">
      <c r="A10" s="157"/>
      <c r="B10" s="157"/>
      <c r="C10" s="156" t="s">
        <v>95</v>
      </c>
      <c r="D10" s="162">
        <v>1.7</v>
      </c>
      <c r="E10" s="156" t="s">
        <v>94</v>
      </c>
      <c r="F10" s="163">
        <v>2</v>
      </c>
    </row>
    <row r="11" spans="1:6" x14ac:dyDescent="0.2">
      <c r="A11" s="157"/>
      <c r="B11" s="157"/>
      <c r="C11" s="157"/>
      <c r="D11" s="157"/>
      <c r="E11" s="157"/>
      <c r="F11" s="157"/>
    </row>
  </sheetData>
  <mergeCells count="5">
    <mergeCell ref="C6:D6"/>
    <mergeCell ref="E6:F6"/>
    <mergeCell ref="A2:F2"/>
    <mergeCell ref="C4:F4"/>
    <mergeCell ref="A1:F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V55"/>
  <sheetViews>
    <sheetView zoomScale="80" zoomScaleNormal="80" workbookViewId="0">
      <pane ySplit="1" topLeftCell="A2" activePane="bottomLeft" state="frozen"/>
      <selection pane="bottomLeft" activeCell="D36" sqref="D36"/>
    </sheetView>
  </sheetViews>
  <sheetFormatPr baseColWidth="10" defaultColWidth="11.25" defaultRowHeight="15" customHeight="1" x14ac:dyDescent="0.25"/>
  <cols>
    <col min="1" max="1" width="23.875" style="1" customWidth="1"/>
    <col min="2" max="3" width="20.75" style="1" customWidth="1"/>
    <col min="4" max="5" width="10.75" style="172" customWidth="1"/>
    <col min="6" max="6" width="18.25" style="2" bestFit="1" customWidth="1"/>
    <col min="7" max="7" width="10" style="2" bestFit="1" customWidth="1"/>
    <col min="8" max="8" width="10.625" style="2" bestFit="1" customWidth="1"/>
    <col min="9" max="9" width="11.375" style="2" bestFit="1" customWidth="1"/>
    <col min="10" max="10" width="9.625" style="28" bestFit="1" customWidth="1"/>
    <col min="11" max="11" width="7" style="28" bestFit="1" customWidth="1"/>
    <col min="12" max="12" width="7.625" style="29" bestFit="1" customWidth="1"/>
    <col min="13" max="13" width="9.625" style="28" bestFit="1" customWidth="1"/>
    <col min="14" max="14" width="7" style="28" bestFit="1" customWidth="1"/>
    <col min="15" max="15" width="7.625" style="29" bestFit="1" customWidth="1"/>
    <col min="16" max="16" width="11.75" style="174" bestFit="1" customWidth="1"/>
    <col min="17" max="17" width="11.75" style="177" customWidth="1"/>
    <col min="18" max="18" width="13.875" style="177" customWidth="1"/>
    <col min="19" max="19" width="14.125" style="177" bestFit="1" customWidth="1"/>
    <col min="20" max="20" width="14.25" style="177" bestFit="1" customWidth="1"/>
    <col min="21" max="21" width="15.875" style="177" customWidth="1"/>
    <col min="23" max="16384" width="11.25" style="1"/>
  </cols>
  <sheetData>
    <row r="1" spans="1:21" s="3" customFormat="1" ht="15" customHeight="1" x14ac:dyDescent="0.25">
      <c r="A1" s="4" t="s">
        <v>0</v>
      </c>
      <c r="B1" s="166" t="str">
        <f>Settings!D7</f>
        <v>Vaccinium</v>
      </c>
      <c r="C1" s="167" t="str">
        <f>Settings!E7</f>
        <v>myrtillus</v>
      </c>
      <c r="D1" s="45" t="s">
        <v>74</v>
      </c>
      <c r="E1" s="45" t="s">
        <v>75</v>
      </c>
      <c r="F1" s="6" t="s">
        <v>1</v>
      </c>
      <c r="G1" s="6" t="s">
        <v>2</v>
      </c>
      <c r="H1" s="6" t="s">
        <v>14</v>
      </c>
      <c r="I1" s="6" t="s">
        <v>13</v>
      </c>
      <c r="J1" s="6" t="s">
        <v>15</v>
      </c>
      <c r="K1" s="6" t="s">
        <v>16</v>
      </c>
      <c r="L1" s="6" t="s">
        <v>3</v>
      </c>
      <c r="M1" s="6" t="s">
        <v>15</v>
      </c>
      <c r="N1" s="6" t="s">
        <v>16</v>
      </c>
      <c r="O1" s="6" t="s">
        <v>3</v>
      </c>
      <c r="P1" s="173" t="s">
        <v>4</v>
      </c>
      <c r="Q1" s="175" t="s">
        <v>57</v>
      </c>
      <c r="R1" s="176" t="s">
        <v>39</v>
      </c>
      <c r="S1" s="176" t="s">
        <v>5</v>
      </c>
      <c r="T1" s="176" t="s">
        <v>6</v>
      </c>
      <c r="U1" s="176" t="s">
        <v>40</v>
      </c>
    </row>
    <row r="2" spans="1:21" ht="15" customHeight="1" x14ac:dyDescent="0.25">
      <c r="D2" s="172">
        <v>1</v>
      </c>
      <c r="E2" s="172">
        <f t="shared" ref="E2:E23" si="0">D2*S2</f>
        <v>1</v>
      </c>
      <c r="F2" s="28" t="s">
        <v>132</v>
      </c>
      <c r="G2" s="28" t="s">
        <v>118</v>
      </c>
      <c r="H2" s="28" t="s">
        <v>106</v>
      </c>
      <c r="I2" s="31">
        <v>44956</v>
      </c>
      <c r="J2" s="28" t="s">
        <v>103</v>
      </c>
      <c r="K2" s="28" t="s">
        <v>107</v>
      </c>
      <c r="L2" s="29">
        <v>2.09</v>
      </c>
      <c r="M2" s="28" t="s">
        <v>103</v>
      </c>
      <c r="N2" s="28" t="s">
        <v>107</v>
      </c>
      <c r="O2" s="29">
        <v>2.09</v>
      </c>
      <c r="P2" s="182" t="str">
        <f t="shared" ref="P2:P22" si="1">IF(OR(AND(L2&gt;=$B$12,O2&lt;$B$13),AND(J2=M2,K2=N2,L2&gt;=$B$12,O2&gt;=$B$12),AND(J2=M2,L2&gt;=$B$12,O2&lt;$B$12,O2&gt;=$B$13)),"A",IF(OR(AND(L2&lt;$B$12,O2&lt;$B$13),AND(J2=M2,OR(K2&lt;&gt;N2,K2=N2),L2&gt;=$B$13,O2&gt;=$B$13)),"B",
IF(AND(J2&lt;&gt;M2,L2&gt;=$B$13,O2&gt;=$B$13),"C",0)))</f>
        <v>A</v>
      </c>
      <c r="Q2" s="177">
        <f t="shared" ref="Q2:Q22" si="2">1-R2</f>
        <v>1</v>
      </c>
      <c r="R2" s="177">
        <f t="shared" ref="R2:R22" si="3">IF(AND(P2&lt;&gt;"A", S2=0),1,0)</f>
        <v>0</v>
      </c>
      <c r="S2" s="177">
        <f>IF(AND(J2=$B$1,K2=$C$1,L2&gt;=$B$12,P2="A"),1,0)</f>
        <v>1</v>
      </c>
      <c r="T2" s="177">
        <f t="shared" ref="T2:T22" si="4">IF(S2=1,0,1)-R2</f>
        <v>0</v>
      </c>
      <c r="U2" s="177">
        <f t="shared" ref="U2:U22" si="5">IF(AND(P2="A", S2=0),1,0)</f>
        <v>0</v>
      </c>
    </row>
    <row r="3" spans="1:21" ht="15" customHeight="1" x14ac:dyDescent="0.25">
      <c r="A3" s="68" t="s">
        <v>63</v>
      </c>
      <c r="B3" s="124">
        <f>COUNT(Q:Q)</f>
        <v>22</v>
      </c>
      <c r="D3" s="172">
        <v>1</v>
      </c>
      <c r="E3" s="172">
        <f t="shared" si="0"/>
        <v>1</v>
      </c>
      <c r="F3" s="28" t="s">
        <v>104</v>
      </c>
      <c r="G3" s="28" t="s">
        <v>105</v>
      </c>
      <c r="H3" s="28" t="s">
        <v>106</v>
      </c>
      <c r="I3" s="31">
        <v>44901</v>
      </c>
      <c r="J3" s="28" t="s">
        <v>103</v>
      </c>
      <c r="K3" s="28" t="s">
        <v>107</v>
      </c>
      <c r="L3" s="29">
        <v>2.39</v>
      </c>
      <c r="M3" s="28" t="s">
        <v>103</v>
      </c>
      <c r="N3" s="28" t="s">
        <v>107</v>
      </c>
      <c r="O3" s="29">
        <v>2.15</v>
      </c>
      <c r="P3" s="182" t="str">
        <f t="shared" si="1"/>
        <v>A</v>
      </c>
      <c r="Q3" s="177">
        <f t="shared" si="2"/>
        <v>1</v>
      </c>
      <c r="R3" s="177">
        <f t="shared" si="3"/>
        <v>0</v>
      </c>
      <c r="S3" s="177">
        <f t="shared" ref="S3:S22" si="6">IF(AND(J3=$B$1,K3=$C$1,L3&gt;=$B$12,P3="A"),1,0)</f>
        <v>1</v>
      </c>
      <c r="T3" s="177">
        <f t="shared" si="4"/>
        <v>0</v>
      </c>
      <c r="U3" s="177">
        <f t="shared" si="5"/>
        <v>0</v>
      </c>
    </row>
    <row r="4" spans="1:21" ht="15" customHeight="1" x14ac:dyDescent="0.25">
      <c r="A4" s="120" t="s">
        <v>58</v>
      </c>
      <c r="B4" s="125">
        <f>SUM(Q:Q)</f>
        <v>22</v>
      </c>
      <c r="C4" s="43"/>
      <c r="D4" s="172">
        <v>1</v>
      </c>
      <c r="E4" s="172">
        <f t="shared" si="0"/>
        <v>1</v>
      </c>
      <c r="F4" s="28" t="s">
        <v>108</v>
      </c>
      <c r="G4" s="28" t="s">
        <v>109</v>
      </c>
      <c r="H4" s="28" t="s">
        <v>106</v>
      </c>
      <c r="I4" s="31">
        <v>44887</v>
      </c>
      <c r="J4" s="28" t="s">
        <v>103</v>
      </c>
      <c r="K4" s="28" t="s">
        <v>107</v>
      </c>
      <c r="L4" s="29">
        <v>2.08</v>
      </c>
      <c r="M4" s="28" t="s">
        <v>103</v>
      </c>
      <c r="N4" s="28" t="s">
        <v>107</v>
      </c>
      <c r="O4" s="29">
        <v>2.0699999999999998</v>
      </c>
      <c r="P4" s="182" t="str">
        <f t="shared" si="1"/>
        <v>A</v>
      </c>
      <c r="Q4" s="177">
        <f t="shared" si="2"/>
        <v>1</v>
      </c>
      <c r="R4" s="177">
        <f t="shared" si="3"/>
        <v>0</v>
      </c>
      <c r="S4" s="177">
        <f t="shared" si="6"/>
        <v>1</v>
      </c>
      <c r="T4" s="177">
        <f t="shared" si="4"/>
        <v>0</v>
      </c>
      <c r="U4" s="177">
        <f t="shared" si="5"/>
        <v>0</v>
      </c>
    </row>
    <row r="5" spans="1:21" ht="15" customHeight="1" x14ac:dyDescent="0.25">
      <c r="A5" s="1" t="s">
        <v>80</v>
      </c>
      <c r="B5" s="129">
        <f>SUM(R:R)</f>
        <v>0</v>
      </c>
      <c r="D5" s="172">
        <v>1</v>
      </c>
      <c r="E5" s="172">
        <f t="shared" si="0"/>
        <v>1</v>
      </c>
      <c r="F5" s="28" t="s">
        <v>110</v>
      </c>
      <c r="G5" s="28" t="s">
        <v>109</v>
      </c>
      <c r="H5" s="28" t="s">
        <v>111</v>
      </c>
      <c r="I5" s="31">
        <v>44897</v>
      </c>
      <c r="J5" s="28" t="s">
        <v>103</v>
      </c>
      <c r="K5" s="28" t="s">
        <v>107</v>
      </c>
      <c r="L5" s="29">
        <v>2.17</v>
      </c>
      <c r="M5" s="28" t="s">
        <v>103</v>
      </c>
      <c r="N5" s="28" t="s">
        <v>107</v>
      </c>
      <c r="O5" s="29">
        <v>2.17</v>
      </c>
      <c r="P5" s="182" t="str">
        <f t="shared" si="1"/>
        <v>A</v>
      </c>
      <c r="Q5" s="177">
        <f t="shared" si="2"/>
        <v>1</v>
      </c>
      <c r="R5" s="177">
        <f t="shared" si="3"/>
        <v>0</v>
      </c>
      <c r="S5" s="177">
        <f t="shared" si="6"/>
        <v>1</v>
      </c>
      <c r="T5" s="177">
        <f t="shared" si="4"/>
        <v>0</v>
      </c>
      <c r="U5" s="177">
        <f t="shared" si="5"/>
        <v>0</v>
      </c>
    </row>
    <row r="6" spans="1:21" ht="15" customHeight="1" x14ac:dyDescent="0.25">
      <c r="A6" s="1" t="s">
        <v>79</v>
      </c>
      <c r="B6" s="126"/>
      <c r="D6" s="172">
        <v>1</v>
      </c>
      <c r="E6" s="172">
        <f t="shared" si="0"/>
        <v>1</v>
      </c>
      <c r="F6" s="28" t="s">
        <v>112</v>
      </c>
      <c r="G6" s="28" t="s">
        <v>109</v>
      </c>
      <c r="H6" s="28" t="s">
        <v>106</v>
      </c>
      <c r="I6" s="31">
        <v>44897</v>
      </c>
      <c r="J6" s="28" t="s">
        <v>103</v>
      </c>
      <c r="K6" s="28" t="s">
        <v>107</v>
      </c>
      <c r="L6" s="29">
        <v>2.3199999999999998</v>
      </c>
      <c r="M6" s="28" t="s">
        <v>103</v>
      </c>
      <c r="N6" s="28" t="s">
        <v>107</v>
      </c>
      <c r="O6" s="29">
        <v>2.3199999999999998</v>
      </c>
      <c r="P6" s="182" t="str">
        <f t="shared" si="1"/>
        <v>A</v>
      </c>
      <c r="Q6" s="177">
        <f t="shared" si="2"/>
        <v>1</v>
      </c>
      <c r="R6" s="177">
        <f t="shared" si="3"/>
        <v>0</v>
      </c>
      <c r="S6" s="177">
        <f t="shared" si="6"/>
        <v>1</v>
      </c>
      <c r="T6" s="177">
        <f t="shared" si="4"/>
        <v>0</v>
      </c>
      <c r="U6" s="177">
        <f t="shared" si="5"/>
        <v>0</v>
      </c>
    </row>
    <row r="7" spans="1:21" ht="15" customHeight="1" x14ac:dyDescent="0.25">
      <c r="A7" s="7" t="s">
        <v>8</v>
      </c>
      <c r="B7" s="127">
        <f>SUM(S:S)</f>
        <v>22</v>
      </c>
      <c r="D7" s="172">
        <v>1</v>
      </c>
      <c r="E7" s="172">
        <f t="shared" si="0"/>
        <v>1</v>
      </c>
      <c r="F7" s="28" t="s">
        <v>113</v>
      </c>
      <c r="G7" s="28" t="s">
        <v>109</v>
      </c>
      <c r="H7" s="28" t="s">
        <v>106</v>
      </c>
      <c r="I7" s="31">
        <v>44907</v>
      </c>
      <c r="J7" s="28" t="s">
        <v>103</v>
      </c>
      <c r="K7" s="28" t="s">
        <v>107</v>
      </c>
      <c r="L7" s="29">
        <v>2.1</v>
      </c>
      <c r="M7" s="28" t="s">
        <v>103</v>
      </c>
      <c r="N7" s="28" t="s">
        <v>107</v>
      </c>
      <c r="O7" s="29">
        <v>2.09</v>
      </c>
      <c r="P7" s="182" t="str">
        <f t="shared" si="1"/>
        <v>A</v>
      </c>
      <c r="Q7" s="177">
        <f t="shared" si="2"/>
        <v>1</v>
      </c>
      <c r="R7" s="177">
        <f t="shared" si="3"/>
        <v>0</v>
      </c>
      <c r="S7" s="177">
        <f t="shared" si="6"/>
        <v>1</v>
      </c>
      <c r="T7" s="177">
        <f t="shared" si="4"/>
        <v>0</v>
      </c>
      <c r="U7" s="177">
        <f t="shared" si="5"/>
        <v>0</v>
      </c>
    </row>
    <row r="8" spans="1:21" ht="15" customHeight="1" x14ac:dyDescent="0.25">
      <c r="A8" s="121" t="s">
        <v>40</v>
      </c>
      <c r="B8" s="128">
        <f>SUM(U:U)</f>
        <v>0</v>
      </c>
      <c r="D8" s="172">
        <v>1</v>
      </c>
      <c r="E8" s="172">
        <f t="shared" si="0"/>
        <v>1</v>
      </c>
      <c r="F8" s="28" t="s">
        <v>114</v>
      </c>
      <c r="G8" s="28" t="s">
        <v>115</v>
      </c>
      <c r="H8" s="28" t="s">
        <v>106</v>
      </c>
      <c r="I8" s="31">
        <v>44918</v>
      </c>
      <c r="J8" s="28" t="s">
        <v>103</v>
      </c>
      <c r="K8" s="28" t="s">
        <v>107</v>
      </c>
      <c r="L8" s="29">
        <v>2.0299999999999998</v>
      </c>
      <c r="M8" s="28" t="s">
        <v>103</v>
      </c>
      <c r="N8" s="28" t="s">
        <v>107</v>
      </c>
      <c r="O8" s="29">
        <v>1.94</v>
      </c>
      <c r="P8" s="182" t="str">
        <f t="shared" si="1"/>
        <v>A</v>
      </c>
      <c r="Q8" s="177">
        <f t="shared" si="2"/>
        <v>1</v>
      </c>
      <c r="R8" s="177">
        <f t="shared" si="3"/>
        <v>0</v>
      </c>
      <c r="S8" s="177">
        <f t="shared" si="6"/>
        <v>1</v>
      </c>
      <c r="T8" s="177">
        <f t="shared" si="4"/>
        <v>0</v>
      </c>
      <c r="U8" s="177">
        <f t="shared" si="5"/>
        <v>0</v>
      </c>
    </row>
    <row r="9" spans="1:21" ht="15" customHeight="1" x14ac:dyDescent="0.25">
      <c r="D9" s="172">
        <v>1</v>
      </c>
      <c r="E9" s="172">
        <f t="shared" si="0"/>
        <v>1</v>
      </c>
      <c r="F9" s="28" t="s">
        <v>116</v>
      </c>
      <c r="G9" s="28" t="s">
        <v>109</v>
      </c>
      <c r="H9" s="28" t="s">
        <v>106</v>
      </c>
      <c r="I9" s="31">
        <v>44945</v>
      </c>
      <c r="J9" s="28" t="s">
        <v>103</v>
      </c>
      <c r="K9" s="28" t="s">
        <v>107</v>
      </c>
      <c r="L9" s="29">
        <v>2.0699999999999998</v>
      </c>
      <c r="M9" s="28" t="s">
        <v>103</v>
      </c>
      <c r="N9" s="28" t="s">
        <v>107</v>
      </c>
      <c r="O9" s="29">
        <v>2.04</v>
      </c>
      <c r="P9" s="182" t="str">
        <f t="shared" si="1"/>
        <v>A</v>
      </c>
      <c r="Q9" s="177">
        <f t="shared" si="2"/>
        <v>1</v>
      </c>
      <c r="R9" s="177">
        <f t="shared" si="3"/>
        <v>0</v>
      </c>
      <c r="S9" s="177">
        <f t="shared" si="6"/>
        <v>1</v>
      </c>
      <c r="T9" s="177">
        <f t="shared" si="4"/>
        <v>0</v>
      </c>
      <c r="U9" s="177">
        <f t="shared" si="5"/>
        <v>0</v>
      </c>
    </row>
    <row r="10" spans="1:21" ht="15" customHeight="1" x14ac:dyDescent="0.25">
      <c r="D10" s="172">
        <v>1</v>
      </c>
      <c r="E10" s="172">
        <f t="shared" si="0"/>
        <v>1</v>
      </c>
      <c r="F10" s="28" t="s">
        <v>117</v>
      </c>
      <c r="G10" s="28" t="s">
        <v>118</v>
      </c>
      <c r="H10" s="28" t="s">
        <v>106</v>
      </c>
      <c r="I10" s="31">
        <v>44946</v>
      </c>
      <c r="J10" s="28" t="s">
        <v>103</v>
      </c>
      <c r="K10" s="28" t="s">
        <v>107</v>
      </c>
      <c r="L10" s="29">
        <v>2.35</v>
      </c>
      <c r="M10" s="28" t="s">
        <v>103</v>
      </c>
      <c r="N10" s="28" t="s">
        <v>107</v>
      </c>
      <c r="O10" s="29">
        <v>2.17</v>
      </c>
      <c r="P10" s="182" t="str">
        <f t="shared" si="1"/>
        <v>A</v>
      </c>
      <c r="Q10" s="177">
        <f t="shared" si="2"/>
        <v>1</v>
      </c>
      <c r="R10" s="177">
        <f t="shared" si="3"/>
        <v>0</v>
      </c>
      <c r="S10" s="177">
        <f t="shared" si="6"/>
        <v>1</v>
      </c>
      <c r="T10" s="177">
        <f t="shared" si="4"/>
        <v>0</v>
      </c>
      <c r="U10" s="177">
        <f t="shared" si="5"/>
        <v>0</v>
      </c>
    </row>
    <row r="11" spans="1:21" ht="15" customHeight="1" x14ac:dyDescent="0.25">
      <c r="D11" s="172">
        <v>1</v>
      </c>
      <c r="E11" s="172">
        <f t="shared" si="0"/>
        <v>1</v>
      </c>
      <c r="F11" s="28" t="s">
        <v>119</v>
      </c>
      <c r="G11" s="28" t="s">
        <v>118</v>
      </c>
      <c r="H11" s="28" t="s">
        <v>106</v>
      </c>
      <c r="I11" s="31">
        <v>44946</v>
      </c>
      <c r="J11" s="28" t="s">
        <v>103</v>
      </c>
      <c r="K11" s="28" t="s">
        <v>107</v>
      </c>
      <c r="L11" s="29">
        <v>2.11</v>
      </c>
      <c r="M11" s="28" t="s">
        <v>103</v>
      </c>
      <c r="N11" s="28" t="s">
        <v>107</v>
      </c>
      <c r="O11" s="29">
        <v>2.1</v>
      </c>
      <c r="P11" s="182" t="str">
        <f t="shared" si="1"/>
        <v>A</v>
      </c>
      <c r="Q11" s="177">
        <f t="shared" si="2"/>
        <v>1</v>
      </c>
      <c r="R11" s="177">
        <f t="shared" si="3"/>
        <v>0</v>
      </c>
      <c r="S11" s="177">
        <f t="shared" si="6"/>
        <v>1</v>
      </c>
      <c r="T11" s="177">
        <f t="shared" si="4"/>
        <v>0</v>
      </c>
      <c r="U11" s="177">
        <f t="shared" si="5"/>
        <v>0</v>
      </c>
    </row>
    <row r="12" spans="1:21" ht="15" customHeight="1" x14ac:dyDescent="0.25">
      <c r="A12" s="146" t="s">
        <v>86</v>
      </c>
      <c r="B12" s="164">
        <f>Settings!F10</f>
        <v>2</v>
      </c>
      <c r="C12" s="1" t="s">
        <v>87</v>
      </c>
      <c r="D12" s="172">
        <v>1</v>
      </c>
      <c r="E12" s="172">
        <f t="shared" si="0"/>
        <v>1</v>
      </c>
      <c r="F12" s="28" t="s">
        <v>120</v>
      </c>
      <c r="G12" s="28" t="s">
        <v>118</v>
      </c>
      <c r="H12" s="28" t="s">
        <v>106</v>
      </c>
      <c r="I12" s="31">
        <v>44946</v>
      </c>
      <c r="J12" s="28" t="s">
        <v>103</v>
      </c>
      <c r="K12" s="28" t="s">
        <v>107</v>
      </c>
      <c r="L12" s="29">
        <v>2.66</v>
      </c>
      <c r="M12" s="28" t="s">
        <v>103</v>
      </c>
      <c r="N12" s="28" t="s">
        <v>107</v>
      </c>
      <c r="O12" s="29">
        <v>2.13</v>
      </c>
      <c r="P12" s="182" t="str">
        <f t="shared" si="1"/>
        <v>A</v>
      </c>
      <c r="Q12" s="177">
        <f t="shared" si="2"/>
        <v>1</v>
      </c>
      <c r="R12" s="177">
        <f t="shared" si="3"/>
        <v>0</v>
      </c>
      <c r="S12" s="177">
        <f t="shared" si="6"/>
        <v>1</v>
      </c>
      <c r="T12" s="177">
        <f t="shared" si="4"/>
        <v>0</v>
      </c>
      <c r="U12" s="177">
        <f t="shared" si="5"/>
        <v>0</v>
      </c>
    </row>
    <row r="13" spans="1:21" ht="15" customHeight="1" x14ac:dyDescent="0.25">
      <c r="A13" s="148"/>
      <c r="B13" s="165">
        <f>Settings!D10</f>
        <v>1.7</v>
      </c>
      <c r="C13" s="1" t="s">
        <v>88</v>
      </c>
      <c r="D13" s="172">
        <v>1</v>
      </c>
      <c r="E13" s="172">
        <f t="shared" si="0"/>
        <v>1</v>
      </c>
      <c r="F13" s="28" t="s">
        <v>121</v>
      </c>
      <c r="G13" s="28" t="s">
        <v>118</v>
      </c>
      <c r="H13" s="28" t="s">
        <v>106</v>
      </c>
      <c r="I13" s="31">
        <v>44946</v>
      </c>
      <c r="J13" s="28" t="s">
        <v>103</v>
      </c>
      <c r="K13" s="28" t="s">
        <v>107</v>
      </c>
      <c r="L13" s="29">
        <v>2.23</v>
      </c>
      <c r="M13" s="28" t="s">
        <v>103</v>
      </c>
      <c r="N13" s="28" t="s">
        <v>107</v>
      </c>
      <c r="O13" s="29">
        <v>2.14</v>
      </c>
      <c r="P13" s="182" t="str">
        <f t="shared" si="1"/>
        <v>A</v>
      </c>
      <c r="Q13" s="177">
        <f t="shared" si="2"/>
        <v>1</v>
      </c>
      <c r="R13" s="177">
        <f t="shared" si="3"/>
        <v>0</v>
      </c>
      <c r="S13" s="177">
        <f t="shared" si="6"/>
        <v>1</v>
      </c>
      <c r="T13" s="177">
        <f t="shared" si="4"/>
        <v>0</v>
      </c>
      <c r="U13" s="177">
        <f t="shared" si="5"/>
        <v>0</v>
      </c>
    </row>
    <row r="14" spans="1:21" ht="15" customHeight="1" x14ac:dyDescent="0.25">
      <c r="A14" s="41" t="s">
        <v>101</v>
      </c>
      <c r="B14" s="27"/>
      <c r="D14" s="172">
        <v>1</v>
      </c>
      <c r="E14" s="172">
        <f t="shared" si="0"/>
        <v>1</v>
      </c>
      <c r="F14" s="28" t="s">
        <v>122</v>
      </c>
      <c r="G14" s="28" t="s">
        <v>118</v>
      </c>
      <c r="H14" s="28" t="s">
        <v>106</v>
      </c>
      <c r="I14" s="31">
        <v>44946</v>
      </c>
      <c r="J14" s="28" t="s">
        <v>103</v>
      </c>
      <c r="K14" s="28" t="s">
        <v>107</v>
      </c>
      <c r="L14" s="29">
        <v>2.39</v>
      </c>
      <c r="M14" s="28" t="s">
        <v>103</v>
      </c>
      <c r="N14" s="28" t="s">
        <v>107</v>
      </c>
      <c r="O14" s="29">
        <v>2.29</v>
      </c>
      <c r="P14" s="182" t="str">
        <f t="shared" si="1"/>
        <v>A</v>
      </c>
      <c r="Q14" s="177">
        <f t="shared" si="2"/>
        <v>1</v>
      </c>
      <c r="R14" s="177">
        <f t="shared" si="3"/>
        <v>0</v>
      </c>
      <c r="S14" s="177">
        <f t="shared" si="6"/>
        <v>1</v>
      </c>
      <c r="T14" s="177">
        <f t="shared" si="4"/>
        <v>0</v>
      </c>
      <c r="U14" s="177">
        <f t="shared" si="5"/>
        <v>0</v>
      </c>
    </row>
    <row r="15" spans="1:21" ht="15" customHeight="1" x14ac:dyDescent="0.25">
      <c r="D15" s="172">
        <v>1</v>
      </c>
      <c r="E15" s="172">
        <f t="shared" si="0"/>
        <v>1</v>
      </c>
      <c r="F15" s="28" t="s">
        <v>123</v>
      </c>
      <c r="G15" s="28" t="s">
        <v>118</v>
      </c>
      <c r="H15" s="28" t="s">
        <v>106</v>
      </c>
      <c r="I15" s="31">
        <v>44946</v>
      </c>
      <c r="J15" s="28" t="s">
        <v>103</v>
      </c>
      <c r="K15" s="28" t="s">
        <v>107</v>
      </c>
      <c r="L15" s="29">
        <v>2.33</v>
      </c>
      <c r="M15" s="28" t="s">
        <v>103</v>
      </c>
      <c r="N15" s="28" t="s">
        <v>107</v>
      </c>
      <c r="O15" s="29">
        <v>2.2599999999999998</v>
      </c>
      <c r="P15" s="182" t="str">
        <f t="shared" si="1"/>
        <v>A</v>
      </c>
      <c r="Q15" s="177">
        <f t="shared" si="2"/>
        <v>1</v>
      </c>
      <c r="R15" s="177">
        <f t="shared" si="3"/>
        <v>0</v>
      </c>
      <c r="S15" s="177">
        <f t="shared" si="6"/>
        <v>1</v>
      </c>
      <c r="T15" s="177">
        <f t="shared" si="4"/>
        <v>0</v>
      </c>
      <c r="U15" s="177">
        <f t="shared" si="5"/>
        <v>0</v>
      </c>
    </row>
    <row r="16" spans="1:21" ht="15" customHeight="1" x14ac:dyDescent="0.25">
      <c r="D16" s="172">
        <v>1</v>
      </c>
      <c r="E16" s="172">
        <f t="shared" si="0"/>
        <v>1</v>
      </c>
      <c r="F16" s="28" t="s">
        <v>124</v>
      </c>
      <c r="G16" s="28" t="s">
        <v>118</v>
      </c>
      <c r="H16" s="28" t="s">
        <v>106</v>
      </c>
      <c r="I16" s="31">
        <v>44946</v>
      </c>
      <c r="J16" s="28" t="s">
        <v>103</v>
      </c>
      <c r="K16" s="28" t="s">
        <v>107</v>
      </c>
      <c r="L16" s="29">
        <v>2.3199999999999998</v>
      </c>
      <c r="M16" s="28" t="s">
        <v>103</v>
      </c>
      <c r="N16" s="28" t="s">
        <v>107</v>
      </c>
      <c r="O16" s="29">
        <v>2.2799999999999998</v>
      </c>
      <c r="P16" s="182" t="str">
        <f t="shared" si="1"/>
        <v>A</v>
      </c>
      <c r="Q16" s="177">
        <f t="shared" si="2"/>
        <v>1</v>
      </c>
      <c r="R16" s="177">
        <f t="shared" si="3"/>
        <v>0</v>
      </c>
      <c r="S16" s="177">
        <f t="shared" si="6"/>
        <v>1</v>
      </c>
      <c r="T16" s="177">
        <f t="shared" si="4"/>
        <v>0</v>
      </c>
      <c r="U16" s="177">
        <f t="shared" si="5"/>
        <v>0</v>
      </c>
    </row>
    <row r="17" spans="1:21" ht="15" customHeight="1" x14ac:dyDescent="0.25">
      <c r="D17" s="172">
        <v>1</v>
      </c>
      <c r="E17" s="172">
        <f t="shared" si="0"/>
        <v>1</v>
      </c>
      <c r="F17" s="28" t="s">
        <v>125</v>
      </c>
      <c r="G17" s="28" t="s">
        <v>118</v>
      </c>
      <c r="H17" s="28" t="s">
        <v>106</v>
      </c>
      <c r="I17" s="31">
        <v>44946</v>
      </c>
      <c r="J17" s="28" t="s">
        <v>103</v>
      </c>
      <c r="K17" s="28" t="s">
        <v>107</v>
      </c>
      <c r="L17" s="29">
        <v>2.44</v>
      </c>
      <c r="M17" s="28" t="s">
        <v>103</v>
      </c>
      <c r="N17" s="28" t="s">
        <v>107</v>
      </c>
      <c r="O17" s="29">
        <v>2.31</v>
      </c>
      <c r="P17" s="182" t="str">
        <f t="shared" si="1"/>
        <v>A</v>
      </c>
      <c r="Q17" s="177">
        <f t="shared" si="2"/>
        <v>1</v>
      </c>
      <c r="R17" s="177">
        <f t="shared" si="3"/>
        <v>0</v>
      </c>
      <c r="S17" s="177">
        <f t="shared" si="6"/>
        <v>1</v>
      </c>
      <c r="T17" s="177">
        <f t="shared" si="4"/>
        <v>0</v>
      </c>
      <c r="U17" s="177">
        <f t="shared" si="5"/>
        <v>0</v>
      </c>
    </row>
    <row r="18" spans="1:21" ht="15" customHeight="1" x14ac:dyDescent="0.25">
      <c r="D18" s="172">
        <v>1</v>
      </c>
      <c r="E18" s="172">
        <f t="shared" si="0"/>
        <v>1</v>
      </c>
      <c r="F18" s="28" t="s">
        <v>126</v>
      </c>
      <c r="G18" s="28" t="s">
        <v>118</v>
      </c>
      <c r="H18" s="28" t="s">
        <v>106</v>
      </c>
      <c r="I18" s="31">
        <v>44946</v>
      </c>
      <c r="J18" s="28" t="s">
        <v>103</v>
      </c>
      <c r="K18" s="28" t="s">
        <v>107</v>
      </c>
      <c r="L18" s="29">
        <v>2.23</v>
      </c>
      <c r="M18" s="28" t="s">
        <v>103</v>
      </c>
      <c r="N18" s="28" t="s">
        <v>107</v>
      </c>
      <c r="O18" s="29">
        <v>2.21</v>
      </c>
      <c r="P18" s="182" t="str">
        <f t="shared" si="1"/>
        <v>A</v>
      </c>
      <c r="Q18" s="177">
        <f t="shared" si="2"/>
        <v>1</v>
      </c>
      <c r="R18" s="177">
        <f t="shared" si="3"/>
        <v>0</v>
      </c>
      <c r="S18" s="177">
        <f t="shared" si="6"/>
        <v>1</v>
      </c>
      <c r="T18" s="177">
        <f t="shared" si="4"/>
        <v>0</v>
      </c>
      <c r="U18" s="177">
        <f t="shared" si="5"/>
        <v>0</v>
      </c>
    </row>
    <row r="19" spans="1:21" ht="15" customHeight="1" x14ac:dyDescent="0.25">
      <c r="D19" s="172">
        <v>1</v>
      </c>
      <c r="E19" s="172">
        <f t="shared" si="0"/>
        <v>1</v>
      </c>
      <c r="F19" s="28" t="s">
        <v>127</v>
      </c>
      <c r="G19" s="28" t="s">
        <v>118</v>
      </c>
      <c r="H19" s="28" t="s">
        <v>106</v>
      </c>
      <c r="I19" s="31">
        <v>44946</v>
      </c>
      <c r="J19" s="28" t="s">
        <v>103</v>
      </c>
      <c r="K19" s="28" t="s">
        <v>107</v>
      </c>
      <c r="L19" s="29">
        <v>2.38</v>
      </c>
      <c r="M19" s="28" t="s">
        <v>103</v>
      </c>
      <c r="N19" s="28" t="s">
        <v>107</v>
      </c>
      <c r="O19" s="29">
        <v>2.35</v>
      </c>
      <c r="P19" s="182" t="str">
        <f t="shared" si="1"/>
        <v>A</v>
      </c>
      <c r="Q19" s="177">
        <f t="shared" si="2"/>
        <v>1</v>
      </c>
      <c r="R19" s="177">
        <f t="shared" si="3"/>
        <v>0</v>
      </c>
      <c r="S19" s="177">
        <f t="shared" si="6"/>
        <v>1</v>
      </c>
      <c r="T19" s="177">
        <f t="shared" si="4"/>
        <v>0</v>
      </c>
      <c r="U19" s="177">
        <f t="shared" si="5"/>
        <v>0</v>
      </c>
    </row>
    <row r="20" spans="1:21" ht="15" customHeight="1" x14ac:dyDescent="0.25">
      <c r="D20" s="172">
        <v>1</v>
      </c>
      <c r="E20" s="172">
        <f t="shared" si="0"/>
        <v>1</v>
      </c>
      <c r="F20" s="28" t="s">
        <v>128</v>
      </c>
      <c r="G20" s="28" t="s">
        <v>118</v>
      </c>
      <c r="H20" s="28" t="s">
        <v>106</v>
      </c>
      <c r="I20" s="31">
        <v>44946</v>
      </c>
      <c r="J20" s="28" t="s">
        <v>103</v>
      </c>
      <c r="K20" s="28" t="s">
        <v>107</v>
      </c>
      <c r="L20" s="29">
        <v>2.14</v>
      </c>
      <c r="M20" s="28" t="s">
        <v>103</v>
      </c>
      <c r="N20" s="28" t="s">
        <v>107</v>
      </c>
      <c r="O20" s="29">
        <v>2.13</v>
      </c>
      <c r="P20" s="182" t="str">
        <f t="shared" si="1"/>
        <v>A</v>
      </c>
      <c r="Q20" s="177">
        <f t="shared" si="2"/>
        <v>1</v>
      </c>
      <c r="R20" s="177">
        <f t="shared" si="3"/>
        <v>0</v>
      </c>
      <c r="S20" s="177">
        <f t="shared" si="6"/>
        <v>1</v>
      </c>
      <c r="T20" s="177">
        <f t="shared" si="4"/>
        <v>0</v>
      </c>
      <c r="U20" s="177">
        <f t="shared" si="5"/>
        <v>0</v>
      </c>
    </row>
    <row r="21" spans="1:21" ht="15" customHeight="1" x14ac:dyDescent="0.25">
      <c r="D21" s="172">
        <v>1</v>
      </c>
      <c r="E21" s="172">
        <f t="shared" si="0"/>
        <v>1</v>
      </c>
      <c r="F21" s="28" t="s">
        <v>129</v>
      </c>
      <c r="G21" s="28" t="s">
        <v>118</v>
      </c>
      <c r="H21" s="28" t="s">
        <v>106</v>
      </c>
      <c r="I21" s="31">
        <v>44946</v>
      </c>
      <c r="J21" s="28" t="s">
        <v>103</v>
      </c>
      <c r="K21" s="28" t="s">
        <v>107</v>
      </c>
      <c r="L21" s="29">
        <v>2.4500000000000002</v>
      </c>
      <c r="M21" s="28" t="s">
        <v>103</v>
      </c>
      <c r="N21" s="28" t="s">
        <v>107</v>
      </c>
      <c r="O21" s="29">
        <v>2.23</v>
      </c>
      <c r="P21" s="182" t="str">
        <f t="shared" si="1"/>
        <v>A</v>
      </c>
      <c r="Q21" s="177">
        <f t="shared" si="2"/>
        <v>1</v>
      </c>
      <c r="R21" s="177">
        <f t="shared" si="3"/>
        <v>0</v>
      </c>
      <c r="S21" s="177">
        <f t="shared" si="6"/>
        <v>1</v>
      </c>
      <c r="T21" s="177">
        <f t="shared" si="4"/>
        <v>0</v>
      </c>
      <c r="U21" s="177">
        <f t="shared" si="5"/>
        <v>0</v>
      </c>
    </row>
    <row r="22" spans="1:21" ht="15" customHeight="1" x14ac:dyDescent="0.25">
      <c r="D22" s="172">
        <v>1</v>
      </c>
      <c r="E22" s="172">
        <f t="shared" si="0"/>
        <v>1</v>
      </c>
      <c r="F22" s="28" t="s">
        <v>130</v>
      </c>
      <c r="G22" s="28" t="s">
        <v>118</v>
      </c>
      <c r="H22" s="28" t="s">
        <v>106</v>
      </c>
      <c r="I22" s="31">
        <v>44956</v>
      </c>
      <c r="J22" s="28" t="s">
        <v>103</v>
      </c>
      <c r="K22" s="28" t="s">
        <v>107</v>
      </c>
      <c r="L22" s="29">
        <v>2.4300000000000002</v>
      </c>
      <c r="M22" s="28" t="s">
        <v>103</v>
      </c>
      <c r="N22" s="28" t="s">
        <v>107</v>
      </c>
      <c r="O22" s="29">
        <v>2.41</v>
      </c>
      <c r="P22" s="182" t="str">
        <f t="shared" si="1"/>
        <v>A</v>
      </c>
      <c r="Q22" s="177">
        <f t="shared" si="2"/>
        <v>1</v>
      </c>
      <c r="R22" s="177">
        <f t="shared" si="3"/>
        <v>0</v>
      </c>
      <c r="S22" s="177">
        <f t="shared" si="6"/>
        <v>1</v>
      </c>
      <c r="T22" s="177">
        <f t="shared" si="4"/>
        <v>0</v>
      </c>
      <c r="U22" s="177">
        <f t="shared" si="5"/>
        <v>0</v>
      </c>
    </row>
    <row r="23" spans="1:21" ht="15" customHeight="1" x14ac:dyDescent="0.25">
      <c r="D23" s="172">
        <v>1</v>
      </c>
      <c r="E23" s="172">
        <f t="shared" si="0"/>
        <v>1</v>
      </c>
      <c r="F23" s="28" t="s">
        <v>131</v>
      </c>
      <c r="G23" s="28" t="s">
        <v>118</v>
      </c>
      <c r="H23" s="28" t="s">
        <v>106</v>
      </c>
      <c r="I23" s="31">
        <v>44956</v>
      </c>
      <c r="J23" s="28" t="s">
        <v>103</v>
      </c>
      <c r="K23" s="28" t="s">
        <v>107</v>
      </c>
      <c r="L23" s="29">
        <v>2.31</v>
      </c>
      <c r="M23" s="28" t="s">
        <v>103</v>
      </c>
      <c r="N23" s="28" t="s">
        <v>107</v>
      </c>
      <c r="O23" s="29">
        <v>2.29</v>
      </c>
      <c r="P23" s="182" t="str">
        <f t="shared" ref="P23" si="7">IF(OR(AND(L23&gt;=$B$12,O23&lt;$B$13),AND(J23=M23,K23=N23,L23&gt;=$B$12,O23&gt;=$B$12),AND(J23=M23,L23&gt;=$B$12,O23&lt;$B$12,O23&gt;=$B$13)),"A",IF(OR(AND(L23&lt;$B$12,O23&lt;$B$13),AND(J23=M23,OR(K23&lt;&gt;N23,K23=N23),L23&gt;=$B$13,O23&gt;=$B$13)),"B",
IF(AND(J23&lt;&gt;M23,L23&gt;=$B$13,O23&gt;=$B$13),"C",0)))</f>
        <v>A</v>
      </c>
      <c r="Q23" s="177">
        <f t="shared" ref="Q23" si="8">1-R23</f>
        <v>1</v>
      </c>
      <c r="R23" s="177">
        <f t="shared" ref="R23" si="9">IF(AND(P23&lt;&gt;"A", S23=0),1,0)</f>
        <v>0</v>
      </c>
      <c r="S23" s="177">
        <f t="shared" ref="S23" si="10">IF(AND(J23=$B$1,K23=$C$1,L23&gt;=$B$12,P23="A"),1,0)</f>
        <v>1</v>
      </c>
      <c r="T23" s="177">
        <f t="shared" ref="T23" si="11">IF(S23=1,0,1)-R23</f>
        <v>0</v>
      </c>
      <c r="U23" s="177">
        <f t="shared" ref="U23" si="12">IF(AND(P23="A", S23=0),1,0)</f>
        <v>0</v>
      </c>
    </row>
    <row r="24" spans="1:21" ht="15" customHeight="1" x14ac:dyDescent="0.25">
      <c r="A24" s="68" t="s">
        <v>64</v>
      </c>
      <c r="B24" s="119">
        <f>B4</f>
        <v>22</v>
      </c>
      <c r="F24" s="28"/>
      <c r="G24" s="28"/>
      <c r="H24" s="28"/>
      <c r="I24" s="31"/>
    </row>
    <row r="25" spans="1:21" ht="15" customHeight="1" x14ac:dyDescent="0.25">
      <c r="A25" s="79" t="s">
        <v>70</v>
      </c>
      <c r="B25" s="100">
        <f>B7</f>
        <v>22</v>
      </c>
      <c r="F25" s="28"/>
      <c r="G25" s="28"/>
      <c r="H25" s="28"/>
      <c r="I25" s="31"/>
    </row>
    <row r="26" spans="1:21" ht="15" customHeight="1" x14ac:dyDescent="0.25">
      <c r="A26" s="83" t="s">
        <v>72</v>
      </c>
      <c r="B26" s="99">
        <f>B8</f>
        <v>0</v>
      </c>
      <c r="F26" s="28"/>
      <c r="G26" s="28"/>
      <c r="H26" s="28"/>
      <c r="I26" s="31"/>
    </row>
    <row r="27" spans="1:21" ht="15" customHeight="1" x14ac:dyDescent="0.25">
      <c r="F27" s="28"/>
      <c r="G27" s="28"/>
      <c r="H27" s="28"/>
      <c r="I27" s="31"/>
    </row>
    <row r="28" spans="1:21" ht="15" customHeight="1" x14ac:dyDescent="0.25">
      <c r="A28" s="1" t="s">
        <v>82</v>
      </c>
      <c r="B28" s="43">
        <f>B5/B3</f>
        <v>0</v>
      </c>
      <c r="F28" s="28"/>
      <c r="G28" s="28"/>
      <c r="H28" s="28"/>
      <c r="I28" s="31"/>
    </row>
    <row r="29" spans="1:21" ht="15" customHeight="1" x14ac:dyDescent="0.25">
      <c r="A29" s="135" t="s">
        <v>83</v>
      </c>
      <c r="B29" s="136">
        <f>B8/B4</f>
        <v>0</v>
      </c>
      <c r="F29" s="28"/>
      <c r="G29" s="28"/>
      <c r="H29" s="28"/>
      <c r="I29" s="31"/>
    </row>
    <row r="30" spans="1:21" ht="15" customHeight="1" x14ac:dyDescent="0.25">
      <c r="F30" s="28"/>
      <c r="G30" s="28"/>
      <c r="H30" s="28"/>
      <c r="I30" s="31"/>
    </row>
    <row r="31" spans="1:21" ht="15" customHeight="1" x14ac:dyDescent="0.25">
      <c r="F31" s="28"/>
      <c r="G31" s="28"/>
      <c r="H31" s="28"/>
      <c r="I31" s="31"/>
    </row>
    <row r="32" spans="1:21" ht="15" customHeight="1" x14ac:dyDescent="0.25">
      <c r="F32" s="28"/>
      <c r="G32" s="28"/>
      <c r="H32" s="28"/>
      <c r="I32" s="31"/>
    </row>
    <row r="33" spans="6:9" ht="15" customHeight="1" x14ac:dyDescent="0.25">
      <c r="F33" s="28"/>
      <c r="G33" s="28"/>
      <c r="H33" s="28"/>
      <c r="I33" s="31"/>
    </row>
    <row r="34" spans="6:9" ht="15" customHeight="1" x14ac:dyDescent="0.25">
      <c r="F34" s="28"/>
      <c r="G34" s="28"/>
      <c r="H34" s="28"/>
      <c r="I34" s="31"/>
    </row>
    <row r="35" spans="6:9" ht="15" customHeight="1" x14ac:dyDescent="0.25">
      <c r="F35" s="28"/>
      <c r="G35" s="28"/>
      <c r="H35" s="28"/>
      <c r="I35" s="31"/>
    </row>
    <row r="36" spans="6:9" ht="15" customHeight="1" x14ac:dyDescent="0.25">
      <c r="F36" s="28"/>
      <c r="G36" s="28"/>
      <c r="H36" s="28"/>
      <c r="I36" s="31"/>
    </row>
    <row r="37" spans="6:9" ht="15" customHeight="1" x14ac:dyDescent="0.25">
      <c r="F37" s="28"/>
      <c r="G37" s="28"/>
      <c r="H37" s="28"/>
      <c r="I37" s="31"/>
    </row>
    <row r="38" spans="6:9" ht="15" customHeight="1" x14ac:dyDescent="0.25">
      <c r="F38" s="28"/>
      <c r="G38" s="28"/>
      <c r="H38" s="28"/>
      <c r="I38" s="31"/>
    </row>
    <row r="39" spans="6:9" ht="15" customHeight="1" x14ac:dyDescent="0.25">
      <c r="F39" s="28"/>
      <c r="G39" s="28"/>
      <c r="H39" s="28"/>
      <c r="I39" s="31"/>
    </row>
    <row r="40" spans="6:9" ht="15" customHeight="1" x14ac:dyDescent="0.25">
      <c r="F40" s="28"/>
      <c r="G40" s="28"/>
      <c r="H40" s="28"/>
      <c r="I40" s="31"/>
    </row>
    <row r="41" spans="6:9" ht="15" customHeight="1" x14ac:dyDescent="0.25">
      <c r="F41" s="28"/>
      <c r="G41" s="28"/>
      <c r="H41" s="28"/>
      <c r="I41" s="31"/>
    </row>
    <row r="42" spans="6:9" ht="15" customHeight="1" x14ac:dyDescent="0.25">
      <c r="F42" s="28"/>
      <c r="G42" s="28"/>
      <c r="H42" s="28"/>
      <c r="I42" s="31"/>
    </row>
    <row r="43" spans="6:9" ht="15" customHeight="1" x14ac:dyDescent="0.25">
      <c r="F43" s="28"/>
      <c r="G43" s="28"/>
      <c r="H43" s="28"/>
      <c r="I43" s="31"/>
    </row>
    <row r="44" spans="6:9" ht="15" customHeight="1" x14ac:dyDescent="0.25">
      <c r="F44" s="28"/>
      <c r="G44" s="28"/>
      <c r="H44" s="28"/>
      <c r="I44" s="31"/>
    </row>
    <row r="45" spans="6:9" ht="15" customHeight="1" x14ac:dyDescent="0.25">
      <c r="F45" s="28"/>
      <c r="G45" s="28"/>
      <c r="H45" s="28"/>
      <c r="I45" s="31"/>
    </row>
    <row r="46" spans="6:9" ht="15" customHeight="1" x14ac:dyDescent="0.25">
      <c r="F46" s="28"/>
      <c r="G46" s="28"/>
      <c r="H46" s="28"/>
      <c r="I46" s="31"/>
    </row>
    <row r="47" spans="6:9" ht="15" customHeight="1" x14ac:dyDescent="0.25">
      <c r="F47" s="28"/>
      <c r="G47" s="28"/>
      <c r="H47" s="28"/>
      <c r="I47" s="31"/>
    </row>
    <row r="48" spans="6:9" ht="15" customHeight="1" x14ac:dyDescent="0.25">
      <c r="F48" s="28"/>
      <c r="G48" s="28"/>
      <c r="H48" s="28"/>
      <c r="I48" s="31"/>
    </row>
    <row r="49" spans="6:9" ht="15" customHeight="1" x14ac:dyDescent="0.25">
      <c r="F49" s="28"/>
      <c r="G49" s="28"/>
      <c r="H49" s="28"/>
      <c r="I49" s="31"/>
    </row>
    <row r="50" spans="6:9" ht="15" customHeight="1" x14ac:dyDescent="0.25">
      <c r="F50" s="28"/>
      <c r="G50" s="28"/>
      <c r="H50" s="28"/>
      <c r="I50" s="31"/>
    </row>
    <row r="51" spans="6:9" ht="15" customHeight="1" x14ac:dyDescent="0.25">
      <c r="F51" s="28"/>
      <c r="G51" s="28"/>
      <c r="H51" s="28"/>
      <c r="I51" s="31"/>
    </row>
    <row r="52" spans="6:9" ht="15" customHeight="1" x14ac:dyDescent="0.25">
      <c r="I52" s="31"/>
    </row>
    <row r="53" spans="6:9" ht="15" customHeight="1" x14ac:dyDescent="0.25">
      <c r="I53" s="31"/>
    </row>
    <row r="54" spans="6:9" ht="15" customHeight="1" x14ac:dyDescent="0.25">
      <c r="I54" s="31"/>
    </row>
    <row r="55" spans="6:9" ht="15" customHeight="1" x14ac:dyDescent="0.25">
      <c r="I55" s="31"/>
    </row>
  </sheetData>
  <autoFilter ref="F1:V54"/>
  <conditionalFormatting sqref="R56:R1048576 R1:R54">
    <cfRule type="cellIs" dxfId="88" priority="77" operator="equal">
      <formula>1</formula>
    </cfRule>
  </conditionalFormatting>
  <conditionalFormatting sqref="U56:U1048576 U1:U54">
    <cfRule type="cellIs" dxfId="87" priority="76" operator="equal">
      <formula>1</formula>
    </cfRule>
  </conditionalFormatting>
  <conditionalFormatting sqref="N23:N1048576 K23:K1048576">
    <cfRule type="cellIs" dxfId="86" priority="85" operator="notEqual">
      <formula>OR($C$1,0)</formula>
    </cfRule>
  </conditionalFormatting>
  <conditionalFormatting sqref="J23:J1048576 M23:M1048576">
    <cfRule type="cellIs" dxfId="85" priority="87" operator="notEqual">
      <formula>OR($B$1,0)</formula>
    </cfRule>
  </conditionalFormatting>
  <conditionalFormatting sqref="N23:N1048576 K23:K1048576">
    <cfRule type="cellIs" dxfId="84" priority="84" operator="equal">
      <formula>$C$1</formula>
    </cfRule>
  </conditionalFormatting>
  <conditionalFormatting sqref="T56:T1048576 T1:T54">
    <cfRule type="cellIs" dxfId="83" priority="75" operator="equal">
      <formula>1</formula>
    </cfRule>
  </conditionalFormatting>
  <conditionalFormatting sqref="L23:L1048576">
    <cfRule type="cellIs" dxfId="82" priority="29" operator="greaterThanOrEqual">
      <formula>$B$12</formula>
    </cfRule>
    <cfRule type="cellIs" dxfId="81" priority="30" operator="between">
      <formula>$B$13</formula>
      <formula>"&lt;$B$12"</formula>
    </cfRule>
    <cfRule type="cellIs" dxfId="80" priority="31" operator="between">
      <formula>0.0001</formula>
      <formula>1.699</formula>
    </cfRule>
  </conditionalFormatting>
  <conditionalFormatting sqref="O23:O1048576">
    <cfRule type="cellIs" dxfId="79" priority="27" operator="between">
      <formula>$B$13</formula>
      <formula>"&lt;$B$12"</formula>
    </cfRule>
    <cfRule type="cellIs" dxfId="78" priority="28" operator="between">
      <formula>0.0001</formula>
      <formula>"&lt;$B$13"</formula>
    </cfRule>
  </conditionalFormatting>
  <conditionalFormatting sqref="O23:O1048576">
    <cfRule type="cellIs" dxfId="77" priority="26" operator="greaterThanOrEqual">
      <formula>$B$12</formula>
    </cfRule>
  </conditionalFormatting>
  <conditionalFormatting sqref="P2:P1048576">
    <cfRule type="containsText" dxfId="76" priority="54" operator="containsText" text="C">
      <formula>NOT(ISERROR(SEARCH("C",P2)))</formula>
    </cfRule>
    <cfRule type="containsText" dxfId="75" priority="55" operator="containsText" text="B">
      <formula>NOT(ISERROR(SEARCH("B",P2)))</formula>
    </cfRule>
    <cfRule type="containsText" dxfId="74" priority="57" operator="containsText" text="A">
      <formula>NOT(ISERROR(SEARCH("A",P2)))</formula>
    </cfRule>
  </conditionalFormatting>
  <conditionalFormatting sqref="L2:L7 L9:L22">
    <cfRule type="cellIs" dxfId="73" priority="20" operator="greaterThanOrEqual">
      <formula>$B$20</formula>
    </cfRule>
    <cfRule type="cellIs" dxfId="72" priority="21" operator="between">
      <formula>$B$21</formula>
      <formula>"&lt;$B$20"</formula>
    </cfRule>
    <cfRule type="cellIs" dxfId="71" priority="22" operator="between">
      <formula>0.0001</formula>
      <formula>"&lt;$B$21"</formula>
    </cfRule>
  </conditionalFormatting>
  <conditionalFormatting sqref="K2:K22 N2:N22">
    <cfRule type="cellIs" dxfId="70" priority="17" operator="notEqual">
      <formula>OR($K2,0)</formula>
    </cfRule>
  </conditionalFormatting>
  <conditionalFormatting sqref="J2:J22 M2:M22">
    <cfRule type="cellIs" dxfId="69" priority="19" operator="notEqual">
      <formula>OR($J2,0)</formula>
    </cfRule>
  </conditionalFormatting>
  <conditionalFormatting sqref="L2:L22">
    <cfRule type="cellIs" dxfId="68" priority="7" operator="greaterThanOrEqual">
      <formula>$B$12</formula>
    </cfRule>
    <cfRule type="cellIs" dxfId="67" priority="8" operator="between">
      <formula>$B$13</formula>
      <formula>"&lt;$B$12"</formula>
    </cfRule>
    <cfRule type="cellIs" dxfId="66" priority="9" operator="between">
      <formula>0.0001</formula>
      <formula>"&lt;$B$13"</formula>
    </cfRule>
  </conditionalFormatting>
  <conditionalFormatting sqref="O2:O7 O9:O22">
    <cfRule type="cellIs" dxfId="65" priority="4" operator="greaterThanOrEqual">
      <formula>$B$20</formula>
    </cfRule>
    <cfRule type="cellIs" dxfId="64" priority="5" operator="between">
      <formula>$B$21</formula>
      <formula>"&lt;$B$20"</formula>
    </cfRule>
    <cfRule type="cellIs" dxfId="63" priority="6" operator="between">
      <formula>0.0001</formula>
      <formula>"&lt;$B$21"</formula>
    </cfRule>
  </conditionalFormatting>
  <conditionalFormatting sqref="O2:O22">
    <cfRule type="cellIs" dxfId="62" priority="1" operator="greaterThanOrEqual">
      <formula>$B$12</formula>
    </cfRule>
    <cfRule type="cellIs" dxfId="61" priority="2" operator="between">
      <formula>$B$13</formula>
      <formula>"&lt;$B$12"</formula>
    </cfRule>
    <cfRule type="cellIs" dxfId="60" priority="3" operator="between">
      <formula>0.0001</formula>
      <formula>"&lt;$B$13"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6" operator="containsText" id="{CFE71F8F-C02B-4465-B4E2-20024CC020ED}">
            <xm:f>NOT(ISERROR(SEARCH($B$1,J23)))</xm:f>
            <xm:f>$B$1</xm:f>
            <x14:dxf>
              <fill>
                <patternFill>
                  <bgColor rgb="FF92D050"/>
                </patternFill>
              </fill>
            </x14:dxf>
          </x14:cfRule>
          <xm:sqref>J23:J1048576 M23:M1048576</xm:sqref>
        </x14:conditionalFormatting>
        <x14:conditionalFormatting xmlns:xm="http://schemas.microsoft.com/office/excel/2006/main">
          <x14:cfRule type="containsText" priority="16" operator="containsText" id="{930B6FAD-F8E9-4A7E-974A-1BB06CC43AA4}">
            <xm:f>NOT(ISERROR(SEARCH($K2,K2)))</xm:f>
            <xm:f>$K2</xm:f>
            <x14:dxf>
              <fill>
                <patternFill>
                  <bgColor rgb="FF92D050"/>
                </patternFill>
              </fill>
            </x14:dxf>
          </x14:cfRule>
          <xm:sqref>K2:K22 N2:N22</xm:sqref>
        </x14:conditionalFormatting>
        <x14:conditionalFormatting xmlns:xm="http://schemas.microsoft.com/office/excel/2006/main">
          <x14:cfRule type="containsText" priority="18" operator="containsText" id="{473FFB51-8EE7-49BC-8475-274B030B742D}">
            <xm:f>NOT(ISERROR(SEARCH($J2,J2)))</xm:f>
            <xm:f>$J2</xm:f>
            <x14:dxf>
              <fill>
                <patternFill>
                  <bgColor rgb="FF92D050"/>
                </patternFill>
              </fill>
            </x14:dxf>
          </x14:cfRule>
          <xm:sqref>J2:J22 M2:M22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B230"/>
  <sheetViews>
    <sheetView zoomScale="80" zoomScaleNormal="80" workbookViewId="0">
      <pane ySplit="1" topLeftCell="A2" activePane="bottomLeft" state="frozen"/>
      <selection pane="bottomLeft" activeCell="F43" sqref="F43:AA125"/>
    </sheetView>
  </sheetViews>
  <sheetFormatPr baseColWidth="10" defaultColWidth="11.25" defaultRowHeight="15" customHeight="1" x14ac:dyDescent="0.25"/>
  <cols>
    <col min="1" max="1" width="23.625" style="1" customWidth="1"/>
    <col min="2" max="2" width="20.75" style="1" customWidth="1"/>
    <col min="3" max="3" width="6.125" style="1" customWidth="1"/>
    <col min="4" max="4" width="7.25" style="179" customWidth="1"/>
    <col min="5" max="5" width="7.875" style="179" customWidth="1"/>
    <col min="6" max="6" width="29.375" style="28" customWidth="1"/>
    <col min="7" max="7" width="10" style="28" bestFit="1" customWidth="1"/>
    <col min="8" max="8" width="10.625" style="28" bestFit="1" customWidth="1"/>
    <col min="9" max="9" width="11.375" style="28" bestFit="1" customWidth="1"/>
    <col min="10" max="10" width="17.125" style="28" customWidth="1"/>
    <col min="11" max="11" width="15.625" style="28" bestFit="1" customWidth="1"/>
    <col min="12" max="12" width="9.625" style="28" bestFit="1" customWidth="1"/>
    <col min="13" max="13" width="9.125" style="28" bestFit="1" customWidth="1"/>
    <col min="14" max="14" width="7.625" style="29" bestFit="1" customWidth="1"/>
    <col min="15" max="15" width="9.625" style="28" bestFit="1" customWidth="1"/>
    <col min="16" max="16" width="9.125" style="28" bestFit="1" customWidth="1"/>
    <col min="17" max="17" width="7.625" style="29" bestFit="1" customWidth="1"/>
    <col min="18" max="18" width="11.75" style="174" bestFit="1" customWidth="1"/>
    <col min="19" max="19" width="12.875" style="32" customWidth="1"/>
    <col min="20" max="20" width="11.25" style="177" bestFit="1" customWidth="1"/>
    <col min="21" max="21" width="13.375" style="177" customWidth="1"/>
    <col min="22" max="22" width="19.375" style="177" customWidth="1"/>
    <col min="23" max="23" width="23.25" style="177" customWidth="1"/>
    <col min="24" max="25" width="21.75" style="177" bestFit="1" customWidth="1"/>
    <col min="26" max="26" width="20.375" style="177" customWidth="1"/>
    <col min="27" max="28" width="11.25" style="126"/>
    <col min="29" max="16384" width="11.25" style="1"/>
  </cols>
  <sheetData>
    <row r="1" spans="1:28" s="3" customFormat="1" ht="15" customHeight="1" x14ac:dyDescent="0.25">
      <c r="A1" s="4" t="s">
        <v>0</v>
      </c>
      <c r="B1" s="38" t="str">
        <f>'Parameter (Spezies)'!B1&amp;" "&amp;'Parameter (Spezies)'!C1</f>
        <v>Vaccinium myrtillus</v>
      </c>
      <c r="C1" s="9"/>
      <c r="D1" s="9" t="s">
        <v>74</v>
      </c>
      <c r="E1" s="9" t="s">
        <v>75</v>
      </c>
      <c r="F1" s="178" t="s">
        <v>1</v>
      </c>
      <c r="G1" s="178" t="s">
        <v>2</v>
      </c>
      <c r="H1" s="178" t="s">
        <v>14</v>
      </c>
      <c r="I1" s="178" t="s">
        <v>13</v>
      </c>
      <c r="J1" s="178" t="s">
        <v>32</v>
      </c>
      <c r="K1" s="178" t="s">
        <v>33</v>
      </c>
      <c r="L1" s="6" t="s">
        <v>15</v>
      </c>
      <c r="M1" s="6" t="s">
        <v>16</v>
      </c>
      <c r="N1" s="6" t="s">
        <v>3</v>
      </c>
      <c r="O1" s="6" t="s">
        <v>15</v>
      </c>
      <c r="P1" s="6" t="s">
        <v>16</v>
      </c>
      <c r="Q1" s="6" t="s">
        <v>3</v>
      </c>
      <c r="R1" s="173" t="s">
        <v>4</v>
      </c>
      <c r="S1" s="175" t="s">
        <v>57</v>
      </c>
      <c r="T1" s="176" t="s">
        <v>43</v>
      </c>
      <c r="U1" s="176" t="s">
        <v>42</v>
      </c>
      <c r="V1" s="176" t="s">
        <v>34</v>
      </c>
      <c r="W1" s="176" t="s">
        <v>35</v>
      </c>
      <c r="X1" s="176" t="s">
        <v>36</v>
      </c>
      <c r="Y1" s="176" t="s">
        <v>37</v>
      </c>
      <c r="Z1" s="176" t="s">
        <v>41</v>
      </c>
      <c r="AA1" s="176" t="s">
        <v>81</v>
      </c>
      <c r="AB1" s="180"/>
    </row>
    <row r="2" spans="1:28" ht="15" customHeight="1" x14ac:dyDescent="0.25">
      <c r="D2" s="172">
        <v>1</v>
      </c>
      <c r="E2" s="172">
        <f>D2*S2</f>
        <v>1</v>
      </c>
      <c r="F2" s="28" t="s">
        <v>185</v>
      </c>
      <c r="G2" s="28" t="s">
        <v>147</v>
      </c>
      <c r="H2" s="28" t="s">
        <v>106</v>
      </c>
      <c r="I2" s="31">
        <v>44916</v>
      </c>
      <c r="J2" s="28" t="s">
        <v>139</v>
      </c>
      <c r="K2" s="28" t="s">
        <v>140</v>
      </c>
      <c r="L2" s="28" t="s">
        <v>139</v>
      </c>
      <c r="M2" s="28" t="s">
        <v>140</v>
      </c>
      <c r="N2" s="29">
        <v>2.12</v>
      </c>
      <c r="O2" s="28" t="s">
        <v>139</v>
      </c>
      <c r="P2" s="28" t="s">
        <v>140</v>
      </c>
      <c r="Q2" s="29">
        <v>2.04</v>
      </c>
      <c r="R2" s="174" t="str">
        <f>IF(OR(AND(N2&gt;=$B$20,Q2&lt;$B$21),AND(L2=O2,M2=P2,N2&gt;=$B$20,Q2&gt;=$B$20),AND(L2=O2,N2&gt;=$B$20,Q2&lt;2,Q2&gt;=$B$21)),"A",IF(OR(AND(N2&lt;$B$20,Q2&lt;$B$21),AND(L2=O2,OR(M2&lt;&gt;P2,M2=P2),N2&gt;=$B$21,Q2&gt;=$B$21)),"B",
IF(AND(L2&lt;&gt;O2,N2&gt;=$B$21,Q2&gt;=$B$21),"C",0)))</f>
        <v>A</v>
      </c>
      <c r="S2" s="177">
        <f t="shared" ref="S2" si="0">1-U2+Z2</f>
        <v>1</v>
      </c>
      <c r="T2" s="177">
        <f>IF(AND(L2=J2,M2=K2,N2&gt;=$B$20,R2="A"),1,0)</f>
        <v>1</v>
      </c>
      <c r="U2" s="177">
        <f>IF(T2=1,0,1)</f>
        <v>0</v>
      </c>
      <c r="V2" s="181" t="str">
        <f>L2</f>
        <v>Ribes</v>
      </c>
      <c r="W2" s="181" t="str">
        <f>O2</f>
        <v>Ribes</v>
      </c>
      <c r="X2" s="177">
        <f>IF(AND(V2=$B$1,N2&gt;=$B$20),1,0)</f>
        <v>0</v>
      </c>
      <c r="Y2" s="177">
        <f>IF(AND(W2=$B$1,Q2&gt;=$B$20),1,0)</f>
        <v>0</v>
      </c>
      <c r="Z2" s="177">
        <f>IF(AND(V2=$B$1,N2&gt;=$B$20,R2="A"),1,0)</f>
        <v>0</v>
      </c>
      <c r="AA2" s="177">
        <f>IF(1-(X2+Y2)&gt;0,0,1)</f>
        <v>0</v>
      </c>
    </row>
    <row r="3" spans="1:28" ht="15" customHeight="1" x14ac:dyDescent="0.25">
      <c r="A3" s="5" t="s">
        <v>7</v>
      </c>
      <c r="B3" s="130">
        <f>COUNT(S:S)</f>
        <v>41</v>
      </c>
      <c r="D3" s="172">
        <v>1</v>
      </c>
      <c r="E3" s="172">
        <f t="shared" ref="E3:E36" si="1">D3*S3</f>
        <v>1</v>
      </c>
      <c r="F3" s="28" t="s">
        <v>187</v>
      </c>
      <c r="G3" s="28" t="s">
        <v>133</v>
      </c>
      <c r="H3" s="28" t="s">
        <v>134</v>
      </c>
      <c r="I3" s="31">
        <v>44399</v>
      </c>
      <c r="J3" s="28" t="s">
        <v>135</v>
      </c>
      <c r="K3" s="28" t="s">
        <v>136</v>
      </c>
      <c r="L3" s="28" t="s">
        <v>135</v>
      </c>
      <c r="M3" s="28" t="s">
        <v>136</v>
      </c>
      <c r="N3" s="29">
        <v>2.08</v>
      </c>
      <c r="O3" s="28" t="s">
        <v>135</v>
      </c>
      <c r="P3" s="28" t="s">
        <v>136</v>
      </c>
      <c r="Q3" s="29">
        <v>1.78</v>
      </c>
      <c r="R3" s="174" t="str">
        <f t="shared" ref="R3:R42" si="2">IF(OR(AND(N3&gt;=$B$20,Q3&lt;$B$21),AND(L3=O3,M3=P3,N3&gt;=$B$20,Q3&gt;=$B$20),AND(L3=O3,N3&gt;=$B$20,Q3&lt;2,Q3&gt;=$B$21)),"A",IF(OR(AND(N3&lt;$B$20,Q3&lt;$B$21),AND(L3=O3,OR(M3&lt;&gt;P3,M3=P3),N3&gt;=$B$21,Q3&gt;=$B$21)),"B",
IF(AND(L3&lt;&gt;O3,N3&gt;=$B$21,Q3&gt;=$B$21),"C",0)))</f>
        <v>A</v>
      </c>
      <c r="S3" s="177">
        <f t="shared" ref="S3:S42" si="3">1-U3+Z3</f>
        <v>1</v>
      </c>
      <c r="T3" s="177">
        <f t="shared" ref="T3:T42" si="4">IF(AND(L3=J3,M3=K3,N3&gt;=$B$20,R3="A"),1,0)</f>
        <v>1</v>
      </c>
      <c r="U3" s="177">
        <f t="shared" ref="U3:U42" si="5">IF(T3=1,0,1)</f>
        <v>0</v>
      </c>
      <c r="V3" s="181" t="str">
        <f t="shared" ref="V3:V42" si="6">L3</f>
        <v>Abrus</v>
      </c>
      <c r="W3" s="181" t="str">
        <f t="shared" ref="W3:W42" si="7">O3</f>
        <v>Abrus</v>
      </c>
      <c r="X3" s="177">
        <f t="shared" ref="X3:X42" si="8">IF(AND(V3=$B$1,N3&gt;=$B$20),1,0)</f>
        <v>0</v>
      </c>
      <c r="Y3" s="177">
        <f t="shared" ref="Y3:Y42" si="9">IF(AND(W3=$B$1,Q3&gt;=$B$20),1,0)</f>
        <v>0</v>
      </c>
      <c r="Z3" s="177">
        <f t="shared" ref="Z3:Z42" si="10">IF(AND(V3=$B$1,N3&gt;=$B$20,R3="A"),1,0)</f>
        <v>0</v>
      </c>
      <c r="AA3" s="177">
        <f t="shared" ref="AA3:AA42" si="11">IF(1-(X3+Y3)&gt;0,0,1)</f>
        <v>0</v>
      </c>
    </row>
    <row r="4" spans="1:28" ht="15" customHeight="1" x14ac:dyDescent="0.25">
      <c r="A4" s="120" t="s">
        <v>58</v>
      </c>
      <c r="B4" s="125">
        <f>SUM(S:S)</f>
        <v>39</v>
      </c>
      <c r="C4" s="42"/>
      <c r="D4" s="172">
        <v>1</v>
      </c>
      <c r="E4" s="172">
        <f t="shared" si="1"/>
        <v>1</v>
      </c>
      <c r="F4" s="28" t="s">
        <v>137</v>
      </c>
      <c r="G4" s="28" t="s">
        <v>133</v>
      </c>
      <c r="H4" s="28" t="s">
        <v>134</v>
      </c>
      <c r="I4" s="31">
        <v>44399</v>
      </c>
      <c r="J4" s="28" t="s">
        <v>135</v>
      </c>
      <c r="K4" s="28" t="s">
        <v>136</v>
      </c>
      <c r="L4" s="28" t="s">
        <v>135</v>
      </c>
      <c r="M4" s="28" t="s">
        <v>136</v>
      </c>
      <c r="N4" s="29">
        <v>2.06</v>
      </c>
      <c r="O4" s="28" t="s">
        <v>135</v>
      </c>
      <c r="P4" s="28" t="s">
        <v>136</v>
      </c>
      <c r="Q4" s="29">
        <v>1.93</v>
      </c>
      <c r="R4" s="174" t="str">
        <f t="shared" si="2"/>
        <v>A</v>
      </c>
      <c r="S4" s="177">
        <f t="shared" si="3"/>
        <v>1</v>
      </c>
      <c r="T4" s="177">
        <f t="shared" si="4"/>
        <v>1</v>
      </c>
      <c r="U4" s="177">
        <f t="shared" si="5"/>
        <v>0</v>
      </c>
      <c r="V4" s="181" t="str">
        <f t="shared" si="6"/>
        <v>Abrus</v>
      </c>
      <c r="W4" s="181" t="str">
        <f t="shared" si="7"/>
        <v>Abrus</v>
      </c>
      <c r="X4" s="177">
        <f t="shared" si="8"/>
        <v>0</v>
      </c>
      <c r="Y4" s="177">
        <f t="shared" si="9"/>
        <v>0</v>
      </c>
      <c r="Z4" s="177">
        <f t="shared" si="10"/>
        <v>0</v>
      </c>
      <c r="AA4" s="177">
        <f t="shared" si="11"/>
        <v>0</v>
      </c>
    </row>
    <row r="5" spans="1:28" ht="15" customHeight="1" x14ac:dyDescent="0.25">
      <c r="A5" s="1" t="s">
        <v>79</v>
      </c>
      <c r="D5" s="172">
        <v>1</v>
      </c>
      <c r="E5" s="172">
        <f t="shared" si="1"/>
        <v>0</v>
      </c>
      <c r="F5" s="28" t="s">
        <v>188</v>
      </c>
      <c r="G5" s="28" t="s">
        <v>118</v>
      </c>
      <c r="H5" s="28" t="s">
        <v>106</v>
      </c>
      <c r="I5" s="31">
        <v>44880</v>
      </c>
      <c r="J5" s="28" t="s">
        <v>189</v>
      </c>
      <c r="K5" s="28" t="s">
        <v>190</v>
      </c>
      <c r="L5" s="28" t="s">
        <v>189</v>
      </c>
      <c r="M5" s="28" t="s">
        <v>190</v>
      </c>
      <c r="N5" s="29">
        <v>2.34</v>
      </c>
      <c r="O5" s="28" t="s">
        <v>189</v>
      </c>
      <c r="P5" s="28" t="s">
        <v>191</v>
      </c>
      <c r="Q5" s="29">
        <v>2.11</v>
      </c>
      <c r="R5" s="174" t="str">
        <f t="shared" si="2"/>
        <v>B</v>
      </c>
      <c r="S5" s="177">
        <f t="shared" si="3"/>
        <v>0</v>
      </c>
      <c r="T5" s="177">
        <f t="shared" si="4"/>
        <v>0</v>
      </c>
      <c r="U5" s="177">
        <f t="shared" si="5"/>
        <v>1</v>
      </c>
      <c r="V5" s="181" t="str">
        <f t="shared" si="6"/>
        <v>Lycium</v>
      </c>
      <c r="W5" s="181" t="str">
        <f t="shared" si="7"/>
        <v>Lycium</v>
      </c>
      <c r="X5" s="177">
        <f t="shared" si="8"/>
        <v>0</v>
      </c>
      <c r="Y5" s="177">
        <f t="shared" si="9"/>
        <v>0</v>
      </c>
      <c r="Z5" s="177">
        <f t="shared" si="10"/>
        <v>0</v>
      </c>
      <c r="AA5" s="177">
        <f t="shared" si="11"/>
        <v>0</v>
      </c>
    </row>
    <row r="6" spans="1:28" ht="15" customHeight="1" x14ac:dyDescent="0.25">
      <c r="A6" s="7" t="s">
        <v>43</v>
      </c>
      <c r="B6" s="127">
        <f>SUM(T:T)</f>
        <v>39</v>
      </c>
      <c r="D6" s="172">
        <v>1</v>
      </c>
      <c r="E6" s="172">
        <f t="shared" si="1"/>
        <v>1</v>
      </c>
      <c r="F6" s="28" t="s">
        <v>192</v>
      </c>
      <c r="G6" s="28" t="s">
        <v>118</v>
      </c>
      <c r="H6" s="28" t="s">
        <v>106</v>
      </c>
      <c r="I6" s="31">
        <v>44880</v>
      </c>
      <c r="J6" s="28" t="s">
        <v>189</v>
      </c>
      <c r="K6" s="28" t="s">
        <v>193</v>
      </c>
      <c r="L6" s="28" t="s">
        <v>189</v>
      </c>
      <c r="M6" s="28" t="s">
        <v>193</v>
      </c>
      <c r="N6" s="29">
        <v>2.48</v>
      </c>
      <c r="O6" s="28" t="s">
        <v>189</v>
      </c>
      <c r="P6" s="28" t="s">
        <v>191</v>
      </c>
      <c r="Q6" s="29">
        <v>1.17</v>
      </c>
      <c r="R6" s="174" t="str">
        <f t="shared" si="2"/>
        <v>A</v>
      </c>
      <c r="S6" s="177">
        <f t="shared" si="3"/>
        <v>1</v>
      </c>
      <c r="T6" s="177">
        <f t="shared" si="4"/>
        <v>1</v>
      </c>
      <c r="U6" s="177">
        <f t="shared" si="5"/>
        <v>0</v>
      </c>
      <c r="V6" s="181" t="str">
        <f t="shared" si="6"/>
        <v>Lycium</v>
      </c>
      <c r="W6" s="181" t="str">
        <f t="shared" si="7"/>
        <v>Lycium</v>
      </c>
      <c r="X6" s="177">
        <f t="shared" si="8"/>
        <v>0</v>
      </c>
      <c r="Y6" s="177">
        <f t="shared" si="9"/>
        <v>0</v>
      </c>
      <c r="Z6" s="177">
        <f t="shared" si="10"/>
        <v>0</v>
      </c>
      <c r="AA6" s="177">
        <f t="shared" si="11"/>
        <v>0</v>
      </c>
    </row>
    <row r="7" spans="1:28" ht="15" customHeight="1" x14ac:dyDescent="0.25">
      <c r="A7" s="192" t="s">
        <v>41</v>
      </c>
      <c r="B7" s="122">
        <f>SUM(Z:Z)</f>
        <v>0</v>
      </c>
      <c r="D7" s="172">
        <v>1</v>
      </c>
      <c r="E7" s="172">
        <f t="shared" si="1"/>
        <v>1</v>
      </c>
      <c r="F7" s="28" t="s">
        <v>194</v>
      </c>
      <c r="G7" s="28" t="s">
        <v>118</v>
      </c>
      <c r="H7" s="28" t="s">
        <v>106</v>
      </c>
      <c r="I7" s="31">
        <v>44880</v>
      </c>
      <c r="J7" s="28" t="s">
        <v>189</v>
      </c>
      <c r="K7" s="28" t="s">
        <v>191</v>
      </c>
      <c r="L7" s="28" t="s">
        <v>189</v>
      </c>
      <c r="M7" s="28" t="s">
        <v>191</v>
      </c>
      <c r="N7" s="29">
        <v>2.13</v>
      </c>
      <c r="O7" s="28" t="s">
        <v>189</v>
      </c>
      <c r="P7" s="28" t="s">
        <v>193</v>
      </c>
      <c r="Q7" s="29">
        <v>1.41</v>
      </c>
      <c r="R7" s="174" t="str">
        <f t="shared" si="2"/>
        <v>A</v>
      </c>
      <c r="S7" s="177">
        <f t="shared" si="3"/>
        <v>1</v>
      </c>
      <c r="T7" s="177">
        <f t="shared" si="4"/>
        <v>1</v>
      </c>
      <c r="U7" s="177">
        <f t="shared" si="5"/>
        <v>0</v>
      </c>
      <c r="V7" s="181" t="str">
        <f t="shared" si="6"/>
        <v>Lycium</v>
      </c>
      <c r="W7" s="181" t="str">
        <f t="shared" si="7"/>
        <v>Lycium</v>
      </c>
      <c r="X7" s="177">
        <f t="shared" si="8"/>
        <v>0</v>
      </c>
      <c r="Y7" s="177">
        <f t="shared" si="9"/>
        <v>0</v>
      </c>
      <c r="Z7" s="177">
        <f t="shared" si="10"/>
        <v>0</v>
      </c>
      <c r="AA7" s="177">
        <f t="shared" si="11"/>
        <v>0</v>
      </c>
    </row>
    <row r="8" spans="1:28" ht="15" customHeight="1" x14ac:dyDescent="0.25">
      <c r="A8" s="193"/>
      <c r="B8" s="123"/>
      <c r="D8" s="172">
        <v>1</v>
      </c>
      <c r="E8" s="172">
        <f t="shared" si="1"/>
        <v>1</v>
      </c>
      <c r="F8" s="28" t="s">
        <v>179</v>
      </c>
      <c r="G8" s="28" t="s">
        <v>147</v>
      </c>
      <c r="H8" s="28" t="s">
        <v>106</v>
      </c>
      <c r="I8" s="31">
        <v>44916</v>
      </c>
      <c r="J8" s="28" t="s">
        <v>139</v>
      </c>
      <c r="K8" s="28" t="s">
        <v>180</v>
      </c>
      <c r="L8" s="28" t="s">
        <v>139</v>
      </c>
      <c r="M8" s="28" t="s">
        <v>180</v>
      </c>
      <c r="N8" s="29">
        <v>2.33</v>
      </c>
      <c r="O8" s="28" t="s">
        <v>139</v>
      </c>
      <c r="P8" s="28" t="s">
        <v>180</v>
      </c>
      <c r="Q8" s="29">
        <v>2.06</v>
      </c>
      <c r="R8" s="174" t="str">
        <f t="shared" si="2"/>
        <v>A</v>
      </c>
      <c r="S8" s="177">
        <f t="shared" si="3"/>
        <v>1</v>
      </c>
      <c r="T8" s="177">
        <f t="shared" si="4"/>
        <v>1</v>
      </c>
      <c r="U8" s="177">
        <f t="shared" si="5"/>
        <v>0</v>
      </c>
      <c r="V8" s="181" t="str">
        <f t="shared" si="6"/>
        <v>Ribes</v>
      </c>
      <c r="W8" s="181" t="str">
        <f t="shared" si="7"/>
        <v>Ribes</v>
      </c>
      <c r="X8" s="177">
        <f t="shared" si="8"/>
        <v>0</v>
      </c>
      <c r="Y8" s="177">
        <f t="shared" si="9"/>
        <v>0</v>
      </c>
      <c r="Z8" s="177">
        <f t="shared" si="10"/>
        <v>0</v>
      </c>
      <c r="AA8" s="177">
        <f t="shared" si="11"/>
        <v>0</v>
      </c>
    </row>
    <row r="9" spans="1:28" ht="15" customHeight="1" x14ac:dyDescent="0.25">
      <c r="D9" s="172">
        <v>1</v>
      </c>
      <c r="E9" s="172">
        <f t="shared" si="1"/>
        <v>1</v>
      </c>
      <c r="F9" s="28" t="s">
        <v>181</v>
      </c>
      <c r="G9" s="28" t="s">
        <v>109</v>
      </c>
      <c r="H9" s="28" t="s">
        <v>106</v>
      </c>
      <c r="I9" s="31">
        <v>44916</v>
      </c>
      <c r="J9" s="28" t="s">
        <v>139</v>
      </c>
      <c r="K9" s="28" t="s">
        <v>180</v>
      </c>
      <c r="L9" s="28" t="s">
        <v>139</v>
      </c>
      <c r="M9" s="28" t="s">
        <v>180</v>
      </c>
      <c r="N9" s="29">
        <v>2.5</v>
      </c>
      <c r="O9" s="28" t="s">
        <v>139</v>
      </c>
      <c r="P9" s="28" t="s">
        <v>180</v>
      </c>
      <c r="Q9" s="29">
        <v>2.21</v>
      </c>
      <c r="R9" s="174" t="str">
        <f t="shared" si="2"/>
        <v>A</v>
      </c>
      <c r="S9" s="177">
        <f t="shared" si="3"/>
        <v>1</v>
      </c>
      <c r="T9" s="177">
        <f t="shared" si="4"/>
        <v>1</v>
      </c>
      <c r="U9" s="177">
        <f t="shared" si="5"/>
        <v>0</v>
      </c>
      <c r="V9" s="181" t="str">
        <f t="shared" si="6"/>
        <v>Ribes</v>
      </c>
      <c r="W9" s="181" t="str">
        <f t="shared" si="7"/>
        <v>Ribes</v>
      </c>
      <c r="X9" s="177">
        <f t="shared" si="8"/>
        <v>0</v>
      </c>
      <c r="Y9" s="177">
        <f t="shared" si="9"/>
        <v>0</v>
      </c>
      <c r="Z9" s="177">
        <f t="shared" si="10"/>
        <v>0</v>
      </c>
      <c r="AA9" s="177">
        <f t="shared" si="11"/>
        <v>0</v>
      </c>
    </row>
    <row r="10" spans="1:28" ht="15" customHeight="1" x14ac:dyDescent="0.25">
      <c r="D10" s="172">
        <v>1</v>
      </c>
      <c r="E10" s="172">
        <f t="shared" si="1"/>
        <v>1</v>
      </c>
      <c r="F10" s="28" t="s">
        <v>138</v>
      </c>
      <c r="G10" s="28" t="s">
        <v>109</v>
      </c>
      <c r="H10" s="28" t="s">
        <v>106</v>
      </c>
      <c r="I10" s="31">
        <v>44963</v>
      </c>
      <c r="J10" s="28" t="s">
        <v>139</v>
      </c>
      <c r="K10" s="28" t="s">
        <v>140</v>
      </c>
      <c r="L10" s="28" t="s">
        <v>139</v>
      </c>
      <c r="M10" s="28" t="s">
        <v>140</v>
      </c>
      <c r="N10" s="29">
        <v>2.36</v>
      </c>
      <c r="O10" s="28" t="s">
        <v>139</v>
      </c>
      <c r="P10" s="28" t="s">
        <v>140</v>
      </c>
      <c r="Q10" s="29">
        <v>2.2599999999999998</v>
      </c>
      <c r="R10" s="174" t="str">
        <f t="shared" si="2"/>
        <v>A</v>
      </c>
      <c r="S10" s="177">
        <f t="shared" si="3"/>
        <v>1</v>
      </c>
      <c r="T10" s="177">
        <f t="shared" si="4"/>
        <v>1</v>
      </c>
      <c r="U10" s="177">
        <f t="shared" si="5"/>
        <v>0</v>
      </c>
      <c r="V10" s="181" t="str">
        <f t="shared" si="6"/>
        <v>Ribes</v>
      </c>
      <c r="W10" s="181" t="str">
        <f t="shared" si="7"/>
        <v>Ribes</v>
      </c>
      <c r="X10" s="177">
        <f t="shared" si="8"/>
        <v>0</v>
      </c>
      <c r="Y10" s="177">
        <f t="shared" si="9"/>
        <v>0</v>
      </c>
      <c r="Z10" s="177">
        <f t="shared" si="10"/>
        <v>0</v>
      </c>
      <c r="AA10" s="177">
        <f t="shared" si="11"/>
        <v>0</v>
      </c>
    </row>
    <row r="11" spans="1:28" ht="15" customHeight="1" x14ac:dyDescent="0.25">
      <c r="D11" s="172">
        <v>1</v>
      </c>
      <c r="E11" s="172">
        <f t="shared" si="1"/>
        <v>1</v>
      </c>
      <c r="F11" s="28" t="s">
        <v>182</v>
      </c>
      <c r="G11" s="28" t="s">
        <v>109</v>
      </c>
      <c r="H11" s="28" t="s">
        <v>106</v>
      </c>
      <c r="I11" s="31">
        <v>44963</v>
      </c>
      <c r="J11" s="28" t="s">
        <v>139</v>
      </c>
      <c r="K11" s="28" t="s">
        <v>140</v>
      </c>
      <c r="L11" s="28" t="s">
        <v>139</v>
      </c>
      <c r="M11" s="28" t="s">
        <v>140</v>
      </c>
      <c r="N11" s="29">
        <v>2.42</v>
      </c>
      <c r="O11" s="28" t="s">
        <v>139</v>
      </c>
      <c r="P11" s="28" t="s">
        <v>140</v>
      </c>
      <c r="Q11" s="29">
        <v>2.41</v>
      </c>
      <c r="R11" s="174" t="str">
        <f t="shared" si="2"/>
        <v>A</v>
      </c>
      <c r="S11" s="177">
        <f t="shared" si="3"/>
        <v>1</v>
      </c>
      <c r="T11" s="177">
        <f t="shared" si="4"/>
        <v>1</v>
      </c>
      <c r="U11" s="177">
        <f t="shared" si="5"/>
        <v>0</v>
      </c>
      <c r="V11" s="181" t="str">
        <f t="shared" si="6"/>
        <v>Ribes</v>
      </c>
      <c r="W11" s="181" t="str">
        <f t="shared" si="7"/>
        <v>Ribes</v>
      </c>
      <c r="X11" s="177">
        <f t="shared" si="8"/>
        <v>0</v>
      </c>
      <c r="Y11" s="177">
        <f t="shared" si="9"/>
        <v>0</v>
      </c>
      <c r="Z11" s="177">
        <f t="shared" si="10"/>
        <v>0</v>
      </c>
      <c r="AA11" s="177">
        <f t="shared" si="11"/>
        <v>0</v>
      </c>
    </row>
    <row r="12" spans="1:28" ht="15" customHeight="1" x14ac:dyDescent="0.25">
      <c r="A12" s="34" t="s">
        <v>38</v>
      </c>
      <c r="B12" s="35"/>
      <c r="D12" s="172">
        <v>1</v>
      </c>
      <c r="E12" s="172">
        <f t="shared" si="1"/>
        <v>1</v>
      </c>
      <c r="F12" s="28" t="s">
        <v>141</v>
      </c>
      <c r="G12" s="28" t="s">
        <v>109</v>
      </c>
      <c r="H12" s="28" t="s">
        <v>106</v>
      </c>
      <c r="I12" s="31">
        <v>44963</v>
      </c>
      <c r="J12" s="28" t="s">
        <v>139</v>
      </c>
      <c r="K12" s="28" t="s">
        <v>140</v>
      </c>
      <c r="L12" s="28" t="s">
        <v>139</v>
      </c>
      <c r="M12" s="28" t="s">
        <v>140</v>
      </c>
      <c r="N12" s="29">
        <v>2.4</v>
      </c>
      <c r="O12" s="28" t="s">
        <v>139</v>
      </c>
      <c r="P12" s="28" t="s">
        <v>140</v>
      </c>
      <c r="Q12" s="29">
        <v>2.36</v>
      </c>
      <c r="R12" s="174" t="str">
        <f t="shared" si="2"/>
        <v>A</v>
      </c>
      <c r="S12" s="177">
        <f t="shared" si="3"/>
        <v>1</v>
      </c>
      <c r="T12" s="177">
        <f t="shared" si="4"/>
        <v>1</v>
      </c>
      <c r="U12" s="177">
        <f t="shared" si="5"/>
        <v>0</v>
      </c>
      <c r="V12" s="181" t="str">
        <f t="shared" si="6"/>
        <v>Ribes</v>
      </c>
      <c r="W12" s="181" t="str">
        <f t="shared" si="7"/>
        <v>Ribes</v>
      </c>
      <c r="X12" s="177">
        <f t="shared" si="8"/>
        <v>0</v>
      </c>
      <c r="Y12" s="177">
        <f t="shared" si="9"/>
        <v>0</v>
      </c>
      <c r="Z12" s="177">
        <f t="shared" si="10"/>
        <v>0</v>
      </c>
      <c r="AA12" s="177">
        <f t="shared" si="11"/>
        <v>0</v>
      </c>
    </row>
    <row r="13" spans="1:28" ht="15" customHeight="1" x14ac:dyDescent="0.25">
      <c r="A13" s="36"/>
      <c r="B13" s="37"/>
      <c r="D13" s="172">
        <v>1</v>
      </c>
      <c r="E13" s="172">
        <f t="shared" si="1"/>
        <v>1</v>
      </c>
      <c r="F13" s="28" t="s">
        <v>142</v>
      </c>
      <c r="G13" s="28" t="s">
        <v>109</v>
      </c>
      <c r="H13" s="28" t="s">
        <v>106</v>
      </c>
      <c r="I13" s="31">
        <v>44963</v>
      </c>
      <c r="J13" s="28" t="s">
        <v>139</v>
      </c>
      <c r="K13" s="28" t="s">
        <v>140</v>
      </c>
      <c r="L13" s="28" t="s">
        <v>139</v>
      </c>
      <c r="M13" s="28" t="s">
        <v>140</v>
      </c>
      <c r="N13" s="29">
        <v>2.48</v>
      </c>
      <c r="O13" s="28" t="s">
        <v>139</v>
      </c>
      <c r="P13" s="28" t="s">
        <v>140</v>
      </c>
      <c r="Q13" s="29">
        <v>2.4</v>
      </c>
      <c r="R13" s="174" t="str">
        <f t="shared" si="2"/>
        <v>A</v>
      </c>
      <c r="S13" s="177">
        <f t="shared" si="3"/>
        <v>1</v>
      </c>
      <c r="T13" s="177">
        <f t="shared" si="4"/>
        <v>1</v>
      </c>
      <c r="U13" s="177">
        <f t="shared" si="5"/>
        <v>0</v>
      </c>
      <c r="V13" s="181" t="str">
        <f t="shared" si="6"/>
        <v>Ribes</v>
      </c>
      <c r="W13" s="181" t="str">
        <f t="shared" si="7"/>
        <v>Ribes</v>
      </c>
      <c r="X13" s="177">
        <f t="shared" si="8"/>
        <v>0</v>
      </c>
      <c r="Y13" s="177">
        <f t="shared" si="9"/>
        <v>0</v>
      </c>
      <c r="Z13" s="177">
        <f t="shared" si="10"/>
        <v>0</v>
      </c>
      <c r="AA13" s="177">
        <f t="shared" si="11"/>
        <v>0</v>
      </c>
    </row>
    <row r="14" spans="1:28" ht="15" customHeight="1" x14ac:dyDescent="0.25">
      <c r="A14" s="39" t="str">
        <f>X1</f>
        <v>1. Hit Treffer Parameter</v>
      </c>
      <c r="B14" s="131">
        <f>SUM(X:X)</f>
        <v>0</v>
      </c>
      <c r="D14" s="172">
        <v>1</v>
      </c>
      <c r="E14" s="172">
        <f t="shared" si="1"/>
        <v>1</v>
      </c>
      <c r="F14" s="28" t="s">
        <v>183</v>
      </c>
      <c r="G14" s="28" t="s">
        <v>109</v>
      </c>
      <c r="H14" s="28" t="s">
        <v>184</v>
      </c>
      <c r="I14" s="31">
        <v>44965</v>
      </c>
      <c r="J14" s="28" t="s">
        <v>139</v>
      </c>
      <c r="K14" s="28" t="s">
        <v>140</v>
      </c>
      <c r="L14" s="28" t="s">
        <v>139</v>
      </c>
      <c r="M14" s="28" t="s">
        <v>140</v>
      </c>
      <c r="N14" s="29">
        <v>2.33</v>
      </c>
      <c r="O14" s="28" t="s">
        <v>139</v>
      </c>
      <c r="P14" s="28" t="s">
        <v>140</v>
      </c>
      <c r="Q14" s="29">
        <v>2.23</v>
      </c>
      <c r="R14" s="174" t="str">
        <f t="shared" si="2"/>
        <v>A</v>
      </c>
      <c r="S14" s="177">
        <f t="shared" si="3"/>
        <v>1</v>
      </c>
      <c r="T14" s="177">
        <f t="shared" si="4"/>
        <v>1</v>
      </c>
      <c r="U14" s="177">
        <f t="shared" si="5"/>
        <v>0</v>
      </c>
      <c r="V14" s="181" t="str">
        <f t="shared" si="6"/>
        <v>Ribes</v>
      </c>
      <c r="W14" s="181" t="str">
        <f t="shared" si="7"/>
        <v>Ribes</v>
      </c>
      <c r="X14" s="177">
        <f t="shared" si="8"/>
        <v>0</v>
      </c>
      <c r="Y14" s="177">
        <f t="shared" si="9"/>
        <v>0</v>
      </c>
      <c r="Z14" s="177">
        <f t="shared" si="10"/>
        <v>0</v>
      </c>
      <c r="AA14" s="177">
        <f t="shared" si="11"/>
        <v>0</v>
      </c>
    </row>
    <row r="15" spans="1:28" ht="15" customHeight="1" x14ac:dyDescent="0.25">
      <c r="A15" s="40" t="str">
        <f>Y1</f>
        <v>2. Hit Treffer Parameter</v>
      </c>
      <c r="B15" s="132">
        <f>SUM(Y:Y)</f>
        <v>0</v>
      </c>
      <c r="D15" s="172">
        <v>1</v>
      </c>
      <c r="E15" s="172">
        <f t="shared" si="1"/>
        <v>1</v>
      </c>
      <c r="F15" s="28" t="s">
        <v>143</v>
      </c>
      <c r="G15" s="28" t="s">
        <v>109</v>
      </c>
      <c r="H15" s="28" t="s">
        <v>106</v>
      </c>
      <c r="I15" s="31">
        <v>44963</v>
      </c>
      <c r="J15" s="28" t="s">
        <v>139</v>
      </c>
      <c r="K15" s="28" t="s">
        <v>140</v>
      </c>
      <c r="L15" s="28" t="s">
        <v>139</v>
      </c>
      <c r="M15" s="28" t="s">
        <v>140</v>
      </c>
      <c r="N15" s="29">
        <v>2.36</v>
      </c>
      <c r="O15" s="28" t="s">
        <v>139</v>
      </c>
      <c r="P15" s="28" t="s">
        <v>140</v>
      </c>
      <c r="Q15" s="29">
        <v>2.31</v>
      </c>
      <c r="R15" s="174" t="str">
        <f t="shared" si="2"/>
        <v>A</v>
      </c>
      <c r="S15" s="177">
        <f t="shared" si="3"/>
        <v>1</v>
      </c>
      <c r="T15" s="177">
        <f t="shared" si="4"/>
        <v>1</v>
      </c>
      <c r="U15" s="177">
        <f t="shared" si="5"/>
        <v>0</v>
      </c>
      <c r="V15" s="181" t="str">
        <f t="shared" si="6"/>
        <v>Ribes</v>
      </c>
      <c r="W15" s="181" t="str">
        <f t="shared" si="7"/>
        <v>Ribes</v>
      </c>
      <c r="X15" s="177">
        <f t="shared" si="8"/>
        <v>0</v>
      </c>
      <c r="Y15" s="177">
        <f t="shared" si="9"/>
        <v>0</v>
      </c>
      <c r="Z15" s="177">
        <f t="shared" si="10"/>
        <v>0</v>
      </c>
      <c r="AA15" s="177">
        <f t="shared" si="11"/>
        <v>0</v>
      </c>
    </row>
    <row r="16" spans="1:28" ht="15" customHeight="1" x14ac:dyDescent="0.25">
      <c r="A16" s="133" t="s">
        <v>81</v>
      </c>
      <c r="B16" s="134">
        <f>SUM(AA:AA)</f>
        <v>0</v>
      </c>
      <c r="D16" s="172">
        <v>1</v>
      </c>
      <c r="E16" s="172">
        <f t="shared" si="1"/>
        <v>1</v>
      </c>
      <c r="F16" s="28" t="s">
        <v>144</v>
      </c>
      <c r="G16" s="28" t="s">
        <v>109</v>
      </c>
      <c r="H16" s="28" t="s">
        <v>106</v>
      </c>
      <c r="I16" s="31">
        <v>44963</v>
      </c>
      <c r="J16" s="28" t="s">
        <v>139</v>
      </c>
      <c r="K16" s="28" t="s">
        <v>140</v>
      </c>
      <c r="L16" s="28" t="s">
        <v>139</v>
      </c>
      <c r="M16" s="28" t="s">
        <v>140</v>
      </c>
      <c r="N16" s="29">
        <v>2.2799999999999998</v>
      </c>
      <c r="O16" s="28" t="s">
        <v>139</v>
      </c>
      <c r="P16" s="28" t="s">
        <v>140</v>
      </c>
      <c r="Q16" s="29">
        <v>2.11</v>
      </c>
      <c r="R16" s="174" t="str">
        <f t="shared" si="2"/>
        <v>A</v>
      </c>
      <c r="S16" s="177">
        <f t="shared" si="3"/>
        <v>1</v>
      </c>
      <c r="T16" s="177">
        <f t="shared" si="4"/>
        <v>1</v>
      </c>
      <c r="U16" s="177">
        <f t="shared" si="5"/>
        <v>0</v>
      </c>
      <c r="V16" s="181" t="str">
        <f t="shared" si="6"/>
        <v>Ribes</v>
      </c>
      <c r="W16" s="181" t="str">
        <f t="shared" si="7"/>
        <v>Ribes</v>
      </c>
      <c r="X16" s="177">
        <f t="shared" si="8"/>
        <v>0</v>
      </c>
      <c r="Y16" s="177">
        <f t="shared" si="9"/>
        <v>0</v>
      </c>
      <c r="Z16" s="177">
        <f t="shared" si="10"/>
        <v>0</v>
      </c>
      <c r="AA16" s="177">
        <f t="shared" si="11"/>
        <v>0</v>
      </c>
    </row>
    <row r="17" spans="1:27" ht="15" customHeight="1" x14ac:dyDescent="0.25">
      <c r="A17" s="137" t="s">
        <v>84</v>
      </c>
      <c r="B17" s="138">
        <f>B16/B4</f>
        <v>0</v>
      </c>
      <c r="D17" s="172">
        <v>1</v>
      </c>
      <c r="E17" s="172">
        <f t="shared" si="1"/>
        <v>1</v>
      </c>
      <c r="F17" s="28" t="s">
        <v>145</v>
      </c>
      <c r="G17" s="28" t="s">
        <v>109</v>
      </c>
      <c r="H17" s="28" t="s">
        <v>106</v>
      </c>
      <c r="I17" s="31">
        <v>44963</v>
      </c>
      <c r="J17" s="28" t="s">
        <v>139</v>
      </c>
      <c r="K17" s="28" t="s">
        <v>140</v>
      </c>
      <c r="L17" s="28" t="s">
        <v>139</v>
      </c>
      <c r="M17" s="28" t="s">
        <v>140</v>
      </c>
      <c r="N17" s="29">
        <v>2.46</v>
      </c>
      <c r="O17" s="28" t="s">
        <v>139</v>
      </c>
      <c r="P17" s="28" t="s">
        <v>140</v>
      </c>
      <c r="Q17" s="29">
        <v>2.39</v>
      </c>
      <c r="R17" s="174" t="str">
        <f t="shared" si="2"/>
        <v>A</v>
      </c>
      <c r="S17" s="177">
        <f t="shared" si="3"/>
        <v>1</v>
      </c>
      <c r="T17" s="177">
        <f t="shared" si="4"/>
        <v>1</v>
      </c>
      <c r="U17" s="177">
        <f t="shared" si="5"/>
        <v>0</v>
      </c>
      <c r="V17" s="181" t="str">
        <f t="shared" si="6"/>
        <v>Ribes</v>
      </c>
      <c r="W17" s="181" t="str">
        <f t="shared" si="7"/>
        <v>Ribes</v>
      </c>
      <c r="X17" s="177">
        <f t="shared" si="8"/>
        <v>0</v>
      </c>
      <c r="Y17" s="177">
        <f t="shared" si="9"/>
        <v>0</v>
      </c>
      <c r="Z17" s="177">
        <f t="shared" si="10"/>
        <v>0</v>
      </c>
      <c r="AA17" s="177">
        <f t="shared" si="11"/>
        <v>0</v>
      </c>
    </row>
    <row r="18" spans="1:27" ht="15" customHeight="1" x14ac:dyDescent="0.25">
      <c r="D18" s="172">
        <v>1</v>
      </c>
      <c r="E18" s="172">
        <f t="shared" si="1"/>
        <v>1</v>
      </c>
      <c r="F18" s="28" t="s">
        <v>146</v>
      </c>
      <c r="G18" s="28" t="s">
        <v>109</v>
      </c>
      <c r="H18" s="28" t="s">
        <v>106</v>
      </c>
      <c r="I18" s="31">
        <v>44963</v>
      </c>
      <c r="J18" s="28" t="s">
        <v>139</v>
      </c>
      <c r="K18" s="28" t="s">
        <v>140</v>
      </c>
      <c r="L18" s="28" t="s">
        <v>139</v>
      </c>
      <c r="M18" s="28" t="s">
        <v>140</v>
      </c>
      <c r="N18" s="29">
        <v>2.23</v>
      </c>
      <c r="O18" s="28" t="s">
        <v>139</v>
      </c>
      <c r="P18" s="28" t="s">
        <v>140</v>
      </c>
      <c r="Q18" s="29">
        <v>1.96</v>
      </c>
      <c r="R18" s="174" t="str">
        <f t="shared" si="2"/>
        <v>A</v>
      </c>
      <c r="S18" s="177">
        <f t="shared" si="3"/>
        <v>1</v>
      </c>
      <c r="T18" s="177">
        <f t="shared" si="4"/>
        <v>1</v>
      </c>
      <c r="U18" s="177">
        <f t="shared" si="5"/>
        <v>0</v>
      </c>
      <c r="V18" s="181" t="str">
        <f t="shared" si="6"/>
        <v>Ribes</v>
      </c>
      <c r="W18" s="181" t="str">
        <f t="shared" si="7"/>
        <v>Ribes</v>
      </c>
      <c r="X18" s="177">
        <f t="shared" si="8"/>
        <v>0</v>
      </c>
      <c r="Y18" s="177">
        <f t="shared" si="9"/>
        <v>0</v>
      </c>
      <c r="Z18" s="177">
        <f t="shared" si="10"/>
        <v>0</v>
      </c>
      <c r="AA18" s="177">
        <f t="shared" si="11"/>
        <v>0</v>
      </c>
    </row>
    <row r="19" spans="1:27" ht="15" customHeight="1" x14ac:dyDescent="0.25">
      <c r="D19" s="172">
        <v>1</v>
      </c>
      <c r="E19" s="172">
        <f t="shared" si="1"/>
        <v>1</v>
      </c>
      <c r="F19" s="28" t="s">
        <v>195</v>
      </c>
      <c r="G19" s="28" t="s">
        <v>147</v>
      </c>
      <c r="H19" s="28" t="s">
        <v>106</v>
      </c>
      <c r="I19" s="31">
        <v>44914</v>
      </c>
      <c r="J19" s="28" t="s">
        <v>103</v>
      </c>
      <c r="K19" s="28" t="s">
        <v>196</v>
      </c>
      <c r="L19" s="28" t="s">
        <v>103</v>
      </c>
      <c r="M19" s="28" t="s">
        <v>196</v>
      </c>
      <c r="N19" s="29">
        <v>2.35</v>
      </c>
      <c r="O19" s="28" t="s">
        <v>103</v>
      </c>
      <c r="P19" s="28" t="s">
        <v>107</v>
      </c>
      <c r="Q19" s="29">
        <v>1.1299999999999999</v>
      </c>
      <c r="R19" s="174" t="str">
        <f t="shared" si="2"/>
        <v>A</v>
      </c>
      <c r="S19" s="177">
        <f t="shared" si="3"/>
        <v>1</v>
      </c>
      <c r="T19" s="177">
        <f t="shared" si="4"/>
        <v>1</v>
      </c>
      <c r="U19" s="177">
        <f t="shared" si="5"/>
        <v>0</v>
      </c>
      <c r="V19" s="181" t="str">
        <f t="shared" si="6"/>
        <v>Vaccinium</v>
      </c>
      <c r="W19" s="181" t="str">
        <f t="shared" si="7"/>
        <v>Vaccinium</v>
      </c>
      <c r="X19" s="177">
        <f t="shared" si="8"/>
        <v>0</v>
      </c>
      <c r="Y19" s="177">
        <f t="shared" si="9"/>
        <v>0</v>
      </c>
      <c r="Z19" s="177">
        <f t="shared" si="10"/>
        <v>0</v>
      </c>
      <c r="AA19" s="177">
        <f t="shared" si="11"/>
        <v>0</v>
      </c>
    </row>
    <row r="20" spans="1:27" ht="15" customHeight="1" x14ac:dyDescent="0.25">
      <c r="A20" s="146" t="s">
        <v>86</v>
      </c>
      <c r="B20" s="164">
        <f>Settings!F10</f>
        <v>2</v>
      </c>
      <c r="C20" s="1" t="s">
        <v>87</v>
      </c>
      <c r="D20" s="172">
        <v>1</v>
      </c>
      <c r="E20" s="172">
        <f t="shared" si="1"/>
        <v>0</v>
      </c>
      <c r="F20" s="28" t="s">
        <v>197</v>
      </c>
      <c r="G20" s="28" t="s">
        <v>147</v>
      </c>
      <c r="H20" s="28" t="s">
        <v>106</v>
      </c>
      <c r="I20" s="31">
        <v>44914</v>
      </c>
      <c r="J20" s="28" t="s">
        <v>103</v>
      </c>
      <c r="K20" s="28" t="s">
        <v>196</v>
      </c>
      <c r="L20" s="28" t="s">
        <v>103</v>
      </c>
      <c r="M20" s="28" t="s">
        <v>196</v>
      </c>
      <c r="N20" s="29">
        <v>1.98</v>
      </c>
      <c r="O20" s="28" t="s">
        <v>103</v>
      </c>
      <c r="P20" s="28" t="s">
        <v>149</v>
      </c>
      <c r="Q20" s="29">
        <v>0.94</v>
      </c>
      <c r="R20" s="174" t="str">
        <f t="shared" si="2"/>
        <v>B</v>
      </c>
      <c r="S20" s="177">
        <f t="shared" si="3"/>
        <v>0</v>
      </c>
      <c r="T20" s="177">
        <f t="shared" si="4"/>
        <v>0</v>
      </c>
      <c r="U20" s="177">
        <f t="shared" si="5"/>
        <v>1</v>
      </c>
      <c r="V20" s="181" t="str">
        <f t="shared" si="6"/>
        <v>Vaccinium</v>
      </c>
      <c r="W20" s="181" t="str">
        <f t="shared" si="7"/>
        <v>Vaccinium</v>
      </c>
      <c r="X20" s="177">
        <f t="shared" si="8"/>
        <v>0</v>
      </c>
      <c r="Y20" s="177">
        <f t="shared" si="9"/>
        <v>0</v>
      </c>
      <c r="Z20" s="177">
        <f t="shared" si="10"/>
        <v>0</v>
      </c>
      <c r="AA20" s="177">
        <f t="shared" si="11"/>
        <v>0</v>
      </c>
    </row>
    <row r="21" spans="1:27" ht="15" customHeight="1" x14ac:dyDescent="0.25">
      <c r="A21" s="148"/>
      <c r="B21" s="165">
        <f>Settings!D10</f>
        <v>1.7</v>
      </c>
      <c r="C21" s="1" t="s">
        <v>88</v>
      </c>
      <c r="D21" s="172">
        <v>1</v>
      </c>
      <c r="E21" s="172">
        <f t="shared" si="1"/>
        <v>1</v>
      </c>
      <c r="F21" s="28" t="s">
        <v>148</v>
      </c>
      <c r="G21" s="28" t="s">
        <v>109</v>
      </c>
      <c r="H21" s="28" t="s">
        <v>106</v>
      </c>
      <c r="I21" s="31">
        <v>44887</v>
      </c>
      <c r="J21" s="28" t="s">
        <v>103</v>
      </c>
      <c r="K21" s="28" t="s">
        <v>149</v>
      </c>
      <c r="L21" s="28" t="s">
        <v>103</v>
      </c>
      <c r="M21" s="28" t="s">
        <v>149</v>
      </c>
      <c r="N21" s="29">
        <v>2.34</v>
      </c>
      <c r="O21" s="28" t="s">
        <v>103</v>
      </c>
      <c r="P21" s="28" t="s">
        <v>149</v>
      </c>
      <c r="Q21" s="29">
        <v>2.2000000000000002</v>
      </c>
      <c r="R21" s="174" t="str">
        <f t="shared" si="2"/>
        <v>A</v>
      </c>
      <c r="S21" s="177">
        <f t="shared" si="3"/>
        <v>1</v>
      </c>
      <c r="T21" s="177">
        <f t="shared" si="4"/>
        <v>1</v>
      </c>
      <c r="U21" s="177">
        <f t="shared" si="5"/>
        <v>0</v>
      </c>
      <c r="V21" s="181" t="str">
        <f t="shared" si="6"/>
        <v>Vaccinium</v>
      </c>
      <c r="W21" s="181" t="str">
        <f t="shared" si="7"/>
        <v>Vaccinium</v>
      </c>
      <c r="X21" s="177">
        <f t="shared" si="8"/>
        <v>0</v>
      </c>
      <c r="Y21" s="177">
        <f t="shared" si="9"/>
        <v>0</v>
      </c>
      <c r="Z21" s="177">
        <f t="shared" si="10"/>
        <v>0</v>
      </c>
      <c r="AA21" s="177">
        <f t="shared" si="11"/>
        <v>0</v>
      </c>
    </row>
    <row r="22" spans="1:27" ht="15" customHeight="1" x14ac:dyDescent="0.25">
      <c r="A22" s="1" t="s">
        <v>101</v>
      </c>
      <c r="D22" s="172">
        <v>1</v>
      </c>
      <c r="E22" s="172">
        <f t="shared" si="1"/>
        <v>1</v>
      </c>
      <c r="F22" s="28" t="s">
        <v>150</v>
      </c>
      <c r="G22" s="28" t="s">
        <v>109</v>
      </c>
      <c r="H22" s="28" t="s">
        <v>106</v>
      </c>
      <c r="I22" s="31">
        <v>44907</v>
      </c>
      <c r="J22" s="28" t="s">
        <v>103</v>
      </c>
      <c r="K22" s="28" t="s">
        <v>149</v>
      </c>
      <c r="L22" s="28" t="s">
        <v>103</v>
      </c>
      <c r="M22" s="28" t="s">
        <v>149</v>
      </c>
      <c r="N22" s="29">
        <v>2.38</v>
      </c>
      <c r="O22" s="28" t="s">
        <v>103</v>
      </c>
      <c r="P22" s="28" t="s">
        <v>149</v>
      </c>
      <c r="Q22" s="29">
        <v>2.3199999999999998</v>
      </c>
      <c r="R22" s="174" t="str">
        <f t="shared" si="2"/>
        <v>A</v>
      </c>
      <c r="S22" s="177">
        <f t="shared" si="3"/>
        <v>1</v>
      </c>
      <c r="T22" s="177">
        <f t="shared" si="4"/>
        <v>1</v>
      </c>
      <c r="U22" s="177">
        <f t="shared" si="5"/>
        <v>0</v>
      </c>
      <c r="V22" s="181" t="str">
        <f t="shared" si="6"/>
        <v>Vaccinium</v>
      </c>
      <c r="W22" s="181" t="str">
        <f t="shared" si="7"/>
        <v>Vaccinium</v>
      </c>
      <c r="X22" s="177">
        <f t="shared" si="8"/>
        <v>0</v>
      </c>
      <c r="Y22" s="177">
        <f t="shared" si="9"/>
        <v>0</v>
      </c>
      <c r="Z22" s="177">
        <f t="shared" si="10"/>
        <v>0</v>
      </c>
      <c r="AA22" s="177">
        <f t="shared" si="11"/>
        <v>0</v>
      </c>
    </row>
    <row r="23" spans="1:27" ht="15" customHeight="1" x14ac:dyDescent="0.25">
      <c r="D23" s="172">
        <v>1</v>
      </c>
      <c r="E23" s="172">
        <f t="shared" si="1"/>
        <v>1</v>
      </c>
      <c r="F23" s="28" t="s">
        <v>151</v>
      </c>
      <c r="G23" s="28" t="s">
        <v>109</v>
      </c>
      <c r="H23" s="28" t="s">
        <v>106</v>
      </c>
      <c r="I23" s="31">
        <v>44886</v>
      </c>
      <c r="J23" s="28" t="s">
        <v>103</v>
      </c>
      <c r="K23" s="28" t="s">
        <v>149</v>
      </c>
      <c r="L23" s="28" t="s">
        <v>103</v>
      </c>
      <c r="M23" s="28" t="s">
        <v>149</v>
      </c>
      <c r="N23" s="29">
        <v>2.41</v>
      </c>
      <c r="O23" s="28" t="s">
        <v>103</v>
      </c>
      <c r="P23" s="28" t="s">
        <v>149</v>
      </c>
      <c r="Q23" s="29">
        <v>2.2999999999999998</v>
      </c>
      <c r="R23" s="174" t="str">
        <f t="shared" si="2"/>
        <v>A</v>
      </c>
      <c r="S23" s="177">
        <f t="shared" si="3"/>
        <v>1</v>
      </c>
      <c r="T23" s="177">
        <f t="shared" si="4"/>
        <v>1</v>
      </c>
      <c r="U23" s="177">
        <f t="shared" si="5"/>
        <v>0</v>
      </c>
      <c r="V23" s="181" t="str">
        <f t="shared" si="6"/>
        <v>Vaccinium</v>
      </c>
      <c r="W23" s="181" t="str">
        <f t="shared" si="7"/>
        <v>Vaccinium</v>
      </c>
      <c r="X23" s="177">
        <f t="shared" si="8"/>
        <v>0</v>
      </c>
      <c r="Y23" s="177">
        <f t="shared" si="9"/>
        <v>0</v>
      </c>
      <c r="Z23" s="177">
        <f t="shared" si="10"/>
        <v>0</v>
      </c>
      <c r="AA23" s="177">
        <f t="shared" si="11"/>
        <v>0</v>
      </c>
    </row>
    <row r="24" spans="1:27" ht="15" customHeight="1" x14ac:dyDescent="0.25">
      <c r="A24" s="51" t="s">
        <v>64</v>
      </c>
      <c r="B24" s="47">
        <f>B4</f>
        <v>39</v>
      </c>
      <c r="D24" s="172">
        <v>1</v>
      </c>
      <c r="E24" s="172">
        <f t="shared" si="1"/>
        <v>1</v>
      </c>
      <c r="F24" s="28" t="s">
        <v>152</v>
      </c>
      <c r="G24" s="28" t="s">
        <v>109</v>
      </c>
      <c r="H24" s="28" t="s">
        <v>153</v>
      </c>
      <c r="I24" s="31">
        <v>44894</v>
      </c>
      <c r="J24" s="28" t="s">
        <v>103</v>
      </c>
      <c r="K24" s="28" t="s">
        <v>149</v>
      </c>
      <c r="L24" s="28" t="s">
        <v>103</v>
      </c>
      <c r="M24" s="28" t="s">
        <v>149</v>
      </c>
      <c r="N24" s="29">
        <v>2.2200000000000002</v>
      </c>
      <c r="O24" s="28" t="s">
        <v>103</v>
      </c>
      <c r="P24" s="28" t="s">
        <v>149</v>
      </c>
      <c r="Q24" s="29">
        <v>2.0099999999999998</v>
      </c>
      <c r="R24" s="174" t="str">
        <f t="shared" si="2"/>
        <v>A</v>
      </c>
      <c r="S24" s="177">
        <f t="shared" si="3"/>
        <v>1</v>
      </c>
      <c r="T24" s="177">
        <f t="shared" si="4"/>
        <v>1</v>
      </c>
      <c r="U24" s="177">
        <f t="shared" si="5"/>
        <v>0</v>
      </c>
      <c r="V24" s="181" t="str">
        <f t="shared" si="6"/>
        <v>Vaccinium</v>
      </c>
      <c r="W24" s="181" t="str">
        <f t="shared" si="7"/>
        <v>Vaccinium</v>
      </c>
      <c r="X24" s="177">
        <f t="shared" si="8"/>
        <v>0</v>
      </c>
      <c r="Y24" s="177">
        <f t="shared" si="9"/>
        <v>0</v>
      </c>
      <c r="Z24" s="177">
        <f t="shared" si="10"/>
        <v>0</v>
      </c>
      <c r="AA24" s="177">
        <f t="shared" si="11"/>
        <v>0</v>
      </c>
    </row>
    <row r="25" spans="1:27" ht="15" customHeight="1" x14ac:dyDescent="0.25">
      <c r="A25" s="60" t="s">
        <v>73</v>
      </c>
      <c r="B25" s="101">
        <f>B6</f>
        <v>39</v>
      </c>
      <c r="D25" s="172">
        <v>1</v>
      </c>
      <c r="E25" s="172">
        <f t="shared" si="1"/>
        <v>1</v>
      </c>
      <c r="F25" s="28" t="s">
        <v>154</v>
      </c>
      <c r="G25" s="28" t="s">
        <v>109</v>
      </c>
      <c r="H25" s="28" t="s">
        <v>153</v>
      </c>
      <c r="I25" s="31">
        <v>44894</v>
      </c>
      <c r="J25" s="28" t="s">
        <v>103</v>
      </c>
      <c r="K25" s="28" t="s">
        <v>149</v>
      </c>
      <c r="L25" s="28" t="s">
        <v>103</v>
      </c>
      <c r="M25" s="28" t="s">
        <v>149</v>
      </c>
      <c r="N25" s="29">
        <v>2.42</v>
      </c>
      <c r="O25" s="28" t="s">
        <v>103</v>
      </c>
      <c r="P25" s="28" t="s">
        <v>149</v>
      </c>
      <c r="Q25" s="29">
        <v>2.38</v>
      </c>
      <c r="R25" s="174" t="str">
        <f t="shared" si="2"/>
        <v>A</v>
      </c>
      <c r="S25" s="177">
        <f t="shared" si="3"/>
        <v>1</v>
      </c>
      <c r="T25" s="177">
        <f t="shared" si="4"/>
        <v>1</v>
      </c>
      <c r="U25" s="177">
        <f t="shared" si="5"/>
        <v>0</v>
      </c>
      <c r="V25" s="181" t="str">
        <f t="shared" si="6"/>
        <v>Vaccinium</v>
      </c>
      <c r="W25" s="181" t="str">
        <f t="shared" si="7"/>
        <v>Vaccinium</v>
      </c>
      <c r="X25" s="177">
        <f t="shared" si="8"/>
        <v>0</v>
      </c>
      <c r="Y25" s="177">
        <f t="shared" si="9"/>
        <v>0</v>
      </c>
      <c r="Z25" s="177">
        <f t="shared" si="10"/>
        <v>0</v>
      </c>
      <c r="AA25" s="177">
        <f t="shared" si="11"/>
        <v>0</v>
      </c>
    </row>
    <row r="26" spans="1:27" ht="15" customHeight="1" x14ac:dyDescent="0.25">
      <c r="A26" s="64" t="s">
        <v>71</v>
      </c>
      <c r="B26" s="98">
        <f>B7</f>
        <v>0</v>
      </c>
      <c r="D26" s="172">
        <v>1</v>
      </c>
      <c r="E26" s="172">
        <f t="shared" si="1"/>
        <v>1</v>
      </c>
      <c r="F26" s="28" t="s">
        <v>155</v>
      </c>
      <c r="G26" s="28" t="s">
        <v>109</v>
      </c>
      <c r="H26" s="28" t="s">
        <v>153</v>
      </c>
      <c r="I26" s="31">
        <v>44894</v>
      </c>
      <c r="J26" s="28" t="s">
        <v>103</v>
      </c>
      <c r="K26" s="28" t="s">
        <v>149</v>
      </c>
      <c r="L26" s="28" t="s">
        <v>103</v>
      </c>
      <c r="M26" s="28" t="s">
        <v>149</v>
      </c>
      <c r="N26" s="29">
        <v>2.5</v>
      </c>
      <c r="O26" s="28" t="s">
        <v>103</v>
      </c>
      <c r="P26" s="28" t="s">
        <v>149</v>
      </c>
      <c r="Q26" s="29">
        <v>2.4300000000000002</v>
      </c>
      <c r="R26" s="174" t="str">
        <f t="shared" si="2"/>
        <v>A</v>
      </c>
      <c r="S26" s="177">
        <f t="shared" si="3"/>
        <v>1</v>
      </c>
      <c r="T26" s="177">
        <f t="shared" si="4"/>
        <v>1</v>
      </c>
      <c r="U26" s="177">
        <f t="shared" si="5"/>
        <v>0</v>
      </c>
      <c r="V26" s="181" t="str">
        <f t="shared" si="6"/>
        <v>Vaccinium</v>
      </c>
      <c r="W26" s="181" t="str">
        <f t="shared" si="7"/>
        <v>Vaccinium</v>
      </c>
      <c r="X26" s="177">
        <f t="shared" si="8"/>
        <v>0</v>
      </c>
      <c r="Y26" s="177">
        <f t="shared" si="9"/>
        <v>0</v>
      </c>
      <c r="Z26" s="177">
        <f t="shared" si="10"/>
        <v>0</v>
      </c>
      <c r="AA26" s="177">
        <f t="shared" si="11"/>
        <v>0</v>
      </c>
    </row>
    <row r="27" spans="1:27" ht="15" customHeight="1" x14ac:dyDescent="0.25">
      <c r="D27" s="172">
        <v>1</v>
      </c>
      <c r="E27" s="172">
        <f t="shared" si="1"/>
        <v>1</v>
      </c>
      <c r="F27" s="28" t="s">
        <v>156</v>
      </c>
      <c r="G27" s="28" t="s">
        <v>109</v>
      </c>
      <c r="H27" s="28" t="s">
        <v>153</v>
      </c>
      <c r="I27" s="31">
        <v>44894</v>
      </c>
      <c r="J27" s="28" t="s">
        <v>103</v>
      </c>
      <c r="K27" s="28" t="s">
        <v>149</v>
      </c>
      <c r="L27" s="28" t="s">
        <v>103</v>
      </c>
      <c r="M27" s="28" t="s">
        <v>149</v>
      </c>
      <c r="N27" s="29">
        <v>2.36</v>
      </c>
      <c r="O27" s="28" t="s">
        <v>103</v>
      </c>
      <c r="P27" s="28" t="s">
        <v>149</v>
      </c>
      <c r="Q27" s="29">
        <v>2.1800000000000002</v>
      </c>
      <c r="R27" s="174" t="str">
        <f t="shared" si="2"/>
        <v>A</v>
      </c>
      <c r="S27" s="177">
        <f t="shared" si="3"/>
        <v>1</v>
      </c>
      <c r="T27" s="177">
        <f t="shared" si="4"/>
        <v>1</v>
      </c>
      <c r="U27" s="177">
        <f t="shared" si="5"/>
        <v>0</v>
      </c>
      <c r="V27" s="181" t="str">
        <f t="shared" si="6"/>
        <v>Vaccinium</v>
      </c>
      <c r="W27" s="181" t="str">
        <f t="shared" si="7"/>
        <v>Vaccinium</v>
      </c>
      <c r="X27" s="177">
        <f t="shared" si="8"/>
        <v>0</v>
      </c>
      <c r="Y27" s="177">
        <f t="shared" si="9"/>
        <v>0</v>
      </c>
      <c r="Z27" s="177">
        <f t="shared" si="10"/>
        <v>0</v>
      </c>
      <c r="AA27" s="177">
        <f t="shared" si="11"/>
        <v>0</v>
      </c>
    </row>
    <row r="28" spans="1:27" ht="15" customHeight="1" x14ac:dyDescent="0.25">
      <c r="A28" s="1" t="s">
        <v>82</v>
      </c>
      <c r="B28" s="43">
        <f>1-(B4/B3)</f>
        <v>4.8780487804878092E-2</v>
      </c>
      <c r="D28" s="172">
        <v>1</v>
      </c>
      <c r="E28" s="172">
        <f t="shared" si="1"/>
        <v>1</v>
      </c>
      <c r="F28" s="28" t="s">
        <v>157</v>
      </c>
      <c r="G28" s="28" t="s">
        <v>109</v>
      </c>
      <c r="H28" s="28" t="s">
        <v>153</v>
      </c>
      <c r="I28" s="31">
        <v>44894</v>
      </c>
      <c r="J28" s="28" t="s">
        <v>103</v>
      </c>
      <c r="K28" s="28" t="s">
        <v>149</v>
      </c>
      <c r="L28" s="28" t="s">
        <v>103</v>
      </c>
      <c r="M28" s="28" t="s">
        <v>149</v>
      </c>
      <c r="N28" s="29">
        <v>2.27</v>
      </c>
      <c r="O28" s="28" t="s">
        <v>103</v>
      </c>
      <c r="P28" s="28" t="s">
        <v>149</v>
      </c>
      <c r="Q28" s="29">
        <v>2.25</v>
      </c>
      <c r="R28" s="174" t="str">
        <f t="shared" si="2"/>
        <v>A</v>
      </c>
      <c r="S28" s="177">
        <f t="shared" si="3"/>
        <v>1</v>
      </c>
      <c r="T28" s="177">
        <f t="shared" si="4"/>
        <v>1</v>
      </c>
      <c r="U28" s="177">
        <f t="shared" si="5"/>
        <v>0</v>
      </c>
      <c r="V28" s="181" t="str">
        <f t="shared" si="6"/>
        <v>Vaccinium</v>
      </c>
      <c r="W28" s="181" t="str">
        <f t="shared" si="7"/>
        <v>Vaccinium</v>
      </c>
      <c r="X28" s="177">
        <f t="shared" si="8"/>
        <v>0</v>
      </c>
      <c r="Y28" s="177">
        <f t="shared" si="9"/>
        <v>0</v>
      </c>
      <c r="Z28" s="177">
        <f t="shared" si="10"/>
        <v>0</v>
      </c>
      <c r="AA28" s="177">
        <f t="shared" si="11"/>
        <v>0</v>
      </c>
    </row>
    <row r="29" spans="1:27" ht="15" customHeight="1" x14ac:dyDescent="0.25">
      <c r="A29" s="135" t="s">
        <v>83</v>
      </c>
      <c r="B29" s="136">
        <f>B26/B4</f>
        <v>0</v>
      </c>
      <c r="D29" s="172">
        <v>1</v>
      </c>
      <c r="E29" s="172">
        <f t="shared" si="1"/>
        <v>1</v>
      </c>
      <c r="F29" s="28" t="s">
        <v>158</v>
      </c>
      <c r="G29" s="28" t="s">
        <v>109</v>
      </c>
      <c r="H29" s="28" t="s">
        <v>106</v>
      </c>
      <c r="I29" s="31">
        <v>44895</v>
      </c>
      <c r="J29" s="28" t="s">
        <v>103</v>
      </c>
      <c r="K29" s="28" t="s">
        <v>149</v>
      </c>
      <c r="L29" s="28" t="s">
        <v>103</v>
      </c>
      <c r="M29" s="28" t="s">
        <v>149</v>
      </c>
      <c r="N29" s="29">
        <v>2.46</v>
      </c>
      <c r="O29" s="28" t="s">
        <v>103</v>
      </c>
      <c r="P29" s="28" t="s">
        <v>149</v>
      </c>
      <c r="Q29" s="29">
        <v>2.17</v>
      </c>
      <c r="R29" s="174" t="str">
        <f t="shared" si="2"/>
        <v>A</v>
      </c>
      <c r="S29" s="177">
        <f t="shared" si="3"/>
        <v>1</v>
      </c>
      <c r="T29" s="177">
        <f t="shared" si="4"/>
        <v>1</v>
      </c>
      <c r="U29" s="177">
        <f t="shared" si="5"/>
        <v>0</v>
      </c>
      <c r="V29" s="181" t="str">
        <f t="shared" si="6"/>
        <v>Vaccinium</v>
      </c>
      <c r="W29" s="181" t="str">
        <f t="shared" si="7"/>
        <v>Vaccinium</v>
      </c>
      <c r="X29" s="177">
        <f t="shared" si="8"/>
        <v>0</v>
      </c>
      <c r="Y29" s="177">
        <f t="shared" si="9"/>
        <v>0</v>
      </c>
      <c r="Z29" s="177">
        <f t="shared" si="10"/>
        <v>0</v>
      </c>
      <c r="AA29" s="177">
        <f t="shared" si="11"/>
        <v>0</v>
      </c>
    </row>
    <row r="30" spans="1:27" ht="15" customHeight="1" x14ac:dyDescent="0.25">
      <c r="D30" s="172">
        <v>1</v>
      </c>
      <c r="E30" s="172">
        <f t="shared" si="1"/>
        <v>1</v>
      </c>
      <c r="F30" s="28" t="s">
        <v>159</v>
      </c>
      <c r="G30" s="28" t="s">
        <v>109</v>
      </c>
      <c r="H30" s="28" t="s">
        <v>106</v>
      </c>
      <c r="I30" s="31">
        <v>44895</v>
      </c>
      <c r="J30" s="28" t="s">
        <v>103</v>
      </c>
      <c r="K30" s="28" t="s">
        <v>149</v>
      </c>
      <c r="L30" s="28" t="s">
        <v>103</v>
      </c>
      <c r="M30" s="28" t="s">
        <v>149</v>
      </c>
      <c r="N30" s="29">
        <v>2.4300000000000002</v>
      </c>
      <c r="O30" s="28" t="s">
        <v>103</v>
      </c>
      <c r="P30" s="28" t="s">
        <v>149</v>
      </c>
      <c r="Q30" s="29">
        <v>2.34</v>
      </c>
      <c r="R30" s="174" t="str">
        <f t="shared" si="2"/>
        <v>A</v>
      </c>
      <c r="S30" s="177">
        <f t="shared" si="3"/>
        <v>1</v>
      </c>
      <c r="T30" s="177">
        <f t="shared" si="4"/>
        <v>1</v>
      </c>
      <c r="U30" s="177">
        <f t="shared" si="5"/>
        <v>0</v>
      </c>
      <c r="V30" s="181" t="str">
        <f t="shared" si="6"/>
        <v>Vaccinium</v>
      </c>
      <c r="W30" s="181" t="str">
        <f t="shared" si="7"/>
        <v>Vaccinium</v>
      </c>
      <c r="X30" s="177">
        <f t="shared" si="8"/>
        <v>0</v>
      </c>
      <c r="Y30" s="177">
        <f t="shared" si="9"/>
        <v>0</v>
      </c>
      <c r="Z30" s="177">
        <f t="shared" si="10"/>
        <v>0</v>
      </c>
      <c r="AA30" s="177">
        <f t="shared" si="11"/>
        <v>0</v>
      </c>
    </row>
    <row r="31" spans="1:27" ht="15" customHeight="1" x14ac:dyDescent="0.25">
      <c r="D31" s="172">
        <v>1</v>
      </c>
      <c r="E31" s="172">
        <f t="shared" si="1"/>
        <v>1</v>
      </c>
      <c r="F31" s="28" t="s">
        <v>160</v>
      </c>
      <c r="G31" s="28" t="s">
        <v>109</v>
      </c>
      <c r="H31" s="28" t="s">
        <v>106</v>
      </c>
      <c r="I31" s="31">
        <v>44895</v>
      </c>
      <c r="J31" s="28" t="s">
        <v>103</v>
      </c>
      <c r="K31" s="28" t="s">
        <v>149</v>
      </c>
      <c r="L31" s="28" t="s">
        <v>103</v>
      </c>
      <c r="M31" s="28" t="s">
        <v>149</v>
      </c>
      <c r="N31" s="29">
        <v>2.4</v>
      </c>
      <c r="O31" s="28" t="s">
        <v>103</v>
      </c>
      <c r="P31" s="28" t="s">
        <v>149</v>
      </c>
      <c r="Q31" s="29">
        <v>2.2200000000000002</v>
      </c>
      <c r="R31" s="174" t="str">
        <f t="shared" si="2"/>
        <v>A</v>
      </c>
      <c r="S31" s="177">
        <f t="shared" si="3"/>
        <v>1</v>
      </c>
      <c r="T31" s="177">
        <f t="shared" si="4"/>
        <v>1</v>
      </c>
      <c r="U31" s="177">
        <f t="shared" si="5"/>
        <v>0</v>
      </c>
      <c r="V31" s="181" t="str">
        <f t="shared" si="6"/>
        <v>Vaccinium</v>
      </c>
      <c r="W31" s="181" t="str">
        <f t="shared" si="7"/>
        <v>Vaccinium</v>
      </c>
      <c r="X31" s="177">
        <f t="shared" si="8"/>
        <v>0</v>
      </c>
      <c r="Y31" s="177">
        <f t="shared" si="9"/>
        <v>0</v>
      </c>
      <c r="Z31" s="177">
        <f t="shared" si="10"/>
        <v>0</v>
      </c>
      <c r="AA31" s="177">
        <f t="shared" si="11"/>
        <v>0</v>
      </c>
    </row>
    <row r="32" spans="1:27" ht="15" customHeight="1" x14ac:dyDescent="0.25">
      <c r="D32" s="172">
        <v>1</v>
      </c>
      <c r="E32" s="172">
        <f t="shared" si="1"/>
        <v>1</v>
      </c>
      <c r="F32" s="28" t="s">
        <v>161</v>
      </c>
      <c r="G32" s="28" t="s">
        <v>109</v>
      </c>
      <c r="H32" s="28" t="s">
        <v>106</v>
      </c>
      <c r="I32" s="31">
        <v>44895</v>
      </c>
      <c r="J32" s="28" t="s">
        <v>103</v>
      </c>
      <c r="K32" s="28" t="s">
        <v>149</v>
      </c>
      <c r="L32" s="28" t="s">
        <v>103</v>
      </c>
      <c r="M32" s="28" t="s">
        <v>149</v>
      </c>
      <c r="N32" s="29">
        <v>2.3199999999999998</v>
      </c>
      <c r="O32" s="28" t="s">
        <v>103</v>
      </c>
      <c r="P32" s="28" t="s">
        <v>149</v>
      </c>
      <c r="Q32" s="29">
        <v>2.31</v>
      </c>
      <c r="R32" s="174" t="str">
        <f t="shared" si="2"/>
        <v>A</v>
      </c>
      <c r="S32" s="177">
        <f t="shared" si="3"/>
        <v>1</v>
      </c>
      <c r="T32" s="177">
        <f t="shared" si="4"/>
        <v>1</v>
      </c>
      <c r="U32" s="177">
        <f t="shared" si="5"/>
        <v>0</v>
      </c>
      <c r="V32" s="181" t="str">
        <f t="shared" si="6"/>
        <v>Vaccinium</v>
      </c>
      <c r="W32" s="181" t="str">
        <f t="shared" si="7"/>
        <v>Vaccinium</v>
      </c>
      <c r="X32" s="177">
        <f t="shared" si="8"/>
        <v>0</v>
      </c>
      <c r="Y32" s="177">
        <f t="shared" si="9"/>
        <v>0</v>
      </c>
      <c r="Z32" s="177">
        <f t="shared" si="10"/>
        <v>0</v>
      </c>
      <c r="AA32" s="177">
        <f t="shared" si="11"/>
        <v>0</v>
      </c>
    </row>
    <row r="33" spans="4:27" ht="15" customHeight="1" x14ac:dyDescent="0.25">
      <c r="D33" s="172">
        <v>1</v>
      </c>
      <c r="E33" s="172">
        <f t="shared" si="1"/>
        <v>1</v>
      </c>
      <c r="F33" s="28" t="s">
        <v>162</v>
      </c>
      <c r="G33" s="28" t="s">
        <v>109</v>
      </c>
      <c r="H33" s="28" t="s">
        <v>106</v>
      </c>
      <c r="I33" s="31">
        <v>44897</v>
      </c>
      <c r="J33" s="28" t="s">
        <v>103</v>
      </c>
      <c r="K33" s="28" t="s">
        <v>149</v>
      </c>
      <c r="L33" s="28" t="s">
        <v>103</v>
      </c>
      <c r="M33" s="28" t="s">
        <v>149</v>
      </c>
      <c r="N33" s="29">
        <v>2.31</v>
      </c>
      <c r="O33" s="28" t="s">
        <v>103</v>
      </c>
      <c r="P33" s="28" t="s">
        <v>149</v>
      </c>
      <c r="Q33" s="29">
        <v>2.2599999999999998</v>
      </c>
      <c r="R33" s="174" t="str">
        <f t="shared" si="2"/>
        <v>A</v>
      </c>
      <c r="S33" s="177">
        <f t="shared" si="3"/>
        <v>1</v>
      </c>
      <c r="T33" s="177">
        <f t="shared" si="4"/>
        <v>1</v>
      </c>
      <c r="U33" s="177">
        <f t="shared" si="5"/>
        <v>0</v>
      </c>
      <c r="V33" s="181" t="str">
        <f t="shared" si="6"/>
        <v>Vaccinium</v>
      </c>
      <c r="W33" s="181" t="str">
        <f t="shared" si="7"/>
        <v>Vaccinium</v>
      </c>
      <c r="X33" s="177">
        <f t="shared" si="8"/>
        <v>0</v>
      </c>
      <c r="Y33" s="177">
        <f t="shared" si="9"/>
        <v>0</v>
      </c>
      <c r="Z33" s="177">
        <f t="shared" si="10"/>
        <v>0</v>
      </c>
      <c r="AA33" s="177">
        <f t="shared" si="11"/>
        <v>0</v>
      </c>
    </row>
    <row r="34" spans="4:27" ht="15" customHeight="1" x14ac:dyDescent="0.25">
      <c r="D34" s="172">
        <v>1</v>
      </c>
      <c r="E34" s="172">
        <f t="shared" si="1"/>
        <v>1</v>
      </c>
      <c r="F34" s="28" t="s">
        <v>163</v>
      </c>
      <c r="G34" s="28" t="s">
        <v>109</v>
      </c>
      <c r="H34" s="28" t="s">
        <v>106</v>
      </c>
      <c r="I34" s="31">
        <v>44897</v>
      </c>
      <c r="J34" s="28" t="s">
        <v>103</v>
      </c>
      <c r="K34" s="28" t="s">
        <v>149</v>
      </c>
      <c r="L34" s="28" t="s">
        <v>103</v>
      </c>
      <c r="M34" s="28" t="s">
        <v>149</v>
      </c>
      <c r="N34" s="29">
        <v>2.4</v>
      </c>
      <c r="O34" s="28" t="s">
        <v>103</v>
      </c>
      <c r="P34" s="28" t="s">
        <v>149</v>
      </c>
      <c r="Q34" s="29">
        <v>2.34</v>
      </c>
      <c r="R34" s="174" t="str">
        <f t="shared" si="2"/>
        <v>A</v>
      </c>
      <c r="S34" s="177">
        <f t="shared" si="3"/>
        <v>1</v>
      </c>
      <c r="T34" s="177">
        <f t="shared" si="4"/>
        <v>1</v>
      </c>
      <c r="U34" s="177">
        <f t="shared" si="5"/>
        <v>0</v>
      </c>
      <c r="V34" s="181" t="str">
        <f t="shared" si="6"/>
        <v>Vaccinium</v>
      </c>
      <c r="W34" s="181" t="str">
        <f t="shared" si="7"/>
        <v>Vaccinium</v>
      </c>
      <c r="X34" s="177">
        <f t="shared" si="8"/>
        <v>0</v>
      </c>
      <c r="Y34" s="177">
        <f t="shared" si="9"/>
        <v>0</v>
      </c>
      <c r="Z34" s="177">
        <f t="shared" si="10"/>
        <v>0</v>
      </c>
      <c r="AA34" s="177">
        <f t="shared" si="11"/>
        <v>0</v>
      </c>
    </row>
    <row r="35" spans="4:27" ht="15" customHeight="1" x14ac:dyDescent="0.25">
      <c r="D35" s="172">
        <v>1</v>
      </c>
      <c r="E35" s="172">
        <f t="shared" si="1"/>
        <v>1</v>
      </c>
      <c r="F35" s="28" t="s">
        <v>164</v>
      </c>
      <c r="G35" s="28" t="s">
        <v>109</v>
      </c>
      <c r="H35" s="28" t="s">
        <v>111</v>
      </c>
      <c r="I35" s="31">
        <v>44897</v>
      </c>
      <c r="J35" s="28" t="s">
        <v>103</v>
      </c>
      <c r="K35" s="28" t="s">
        <v>149</v>
      </c>
      <c r="L35" s="28" t="s">
        <v>103</v>
      </c>
      <c r="M35" s="28" t="s">
        <v>149</v>
      </c>
      <c r="N35" s="29">
        <v>2.2999999999999998</v>
      </c>
      <c r="O35" s="28" t="s">
        <v>103</v>
      </c>
      <c r="P35" s="28" t="s">
        <v>149</v>
      </c>
      <c r="Q35" s="29">
        <v>2.2599999999999998</v>
      </c>
      <c r="R35" s="174" t="str">
        <f t="shared" si="2"/>
        <v>A</v>
      </c>
      <c r="S35" s="177">
        <f t="shared" si="3"/>
        <v>1</v>
      </c>
      <c r="T35" s="177">
        <f t="shared" si="4"/>
        <v>1</v>
      </c>
      <c r="U35" s="177">
        <f t="shared" si="5"/>
        <v>0</v>
      </c>
      <c r="V35" s="181" t="str">
        <f t="shared" si="6"/>
        <v>Vaccinium</v>
      </c>
      <c r="W35" s="181" t="str">
        <f t="shared" si="7"/>
        <v>Vaccinium</v>
      </c>
      <c r="X35" s="177">
        <f t="shared" si="8"/>
        <v>0</v>
      </c>
      <c r="Y35" s="177">
        <f t="shared" si="9"/>
        <v>0</v>
      </c>
      <c r="Z35" s="177">
        <f t="shared" si="10"/>
        <v>0</v>
      </c>
      <c r="AA35" s="177">
        <f t="shared" si="11"/>
        <v>0</v>
      </c>
    </row>
    <row r="36" spans="4:27" ht="15" customHeight="1" x14ac:dyDescent="0.25">
      <c r="D36" s="172">
        <v>1</v>
      </c>
      <c r="E36" s="172">
        <f t="shared" si="1"/>
        <v>1</v>
      </c>
      <c r="F36" s="28" t="s">
        <v>165</v>
      </c>
      <c r="G36" s="28" t="s">
        <v>109</v>
      </c>
      <c r="H36" s="28" t="s">
        <v>106</v>
      </c>
      <c r="I36" s="31">
        <v>44897</v>
      </c>
      <c r="J36" s="28" t="s">
        <v>103</v>
      </c>
      <c r="K36" s="28" t="s">
        <v>149</v>
      </c>
      <c r="L36" s="28" t="s">
        <v>103</v>
      </c>
      <c r="M36" s="28" t="s">
        <v>149</v>
      </c>
      <c r="N36" s="29">
        <v>2.2799999999999998</v>
      </c>
      <c r="O36" s="28" t="s">
        <v>103</v>
      </c>
      <c r="P36" s="28" t="s">
        <v>149</v>
      </c>
      <c r="Q36" s="29">
        <v>2.2400000000000002</v>
      </c>
      <c r="R36" s="174" t="str">
        <f t="shared" si="2"/>
        <v>A</v>
      </c>
      <c r="S36" s="177">
        <f t="shared" si="3"/>
        <v>1</v>
      </c>
      <c r="T36" s="177">
        <f t="shared" si="4"/>
        <v>1</v>
      </c>
      <c r="U36" s="177">
        <f t="shared" si="5"/>
        <v>0</v>
      </c>
      <c r="V36" s="181" t="str">
        <f t="shared" si="6"/>
        <v>Vaccinium</v>
      </c>
      <c r="W36" s="181" t="str">
        <f t="shared" si="7"/>
        <v>Vaccinium</v>
      </c>
      <c r="X36" s="177">
        <f t="shared" si="8"/>
        <v>0</v>
      </c>
      <c r="Y36" s="177">
        <f t="shared" si="9"/>
        <v>0</v>
      </c>
      <c r="Z36" s="177">
        <f t="shared" si="10"/>
        <v>0</v>
      </c>
      <c r="AA36" s="177">
        <f t="shared" si="11"/>
        <v>0</v>
      </c>
    </row>
    <row r="37" spans="4:27" ht="15" customHeight="1" x14ac:dyDescent="0.25">
      <c r="D37" s="172">
        <v>1</v>
      </c>
      <c r="E37" s="172">
        <f t="shared" ref="E37:E42" si="12">D37*S37</f>
        <v>1</v>
      </c>
      <c r="F37" s="28" t="s">
        <v>166</v>
      </c>
      <c r="G37" s="28" t="s">
        <v>109</v>
      </c>
      <c r="H37" s="28" t="s">
        <v>106</v>
      </c>
      <c r="I37" s="31">
        <v>44911</v>
      </c>
      <c r="J37" s="28" t="s">
        <v>103</v>
      </c>
      <c r="K37" s="28" t="s">
        <v>149</v>
      </c>
      <c r="L37" s="28" t="s">
        <v>103</v>
      </c>
      <c r="M37" s="28" t="s">
        <v>149</v>
      </c>
      <c r="N37" s="29">
        <v>2.21</v>
      </c>
      <c r="O37" s="28" t="s">
        <v>103</v>
      </c>
      <c r="P37" s="28" t="s">
        <v>149</v>
      </c>
      <c r="Q37" s="29">
        <v>1.92</v>
      </c>
      <c r="R37" s="174" t="str">
        <f t="shared" si="2"/>
        <v>A</v>
      </c>
      <c r="S37" s="177">
        <f t="shared" si="3"/>
        <v>1</v>
      </c>
      <c r="T37" s="177">
        <f t="shared" si="4"/>
        <v>1</v>
      </c>
      <c r="U37" s="177">
        <f t="shared" si="5"/>
        <v>0</v>
      </c>
      <c r="V37" s="181" t="str">
        <f t="shared" si="6"/>
        <v>Vaccinium</v>
      </c>
      <c r="W37" s="181" t="str">
        <f t="shared" si="7"/>
        <v>Vaccinium</v>
      </c>
      <c r="X37" s="177">
        <f t="shared" si="8"/>
        <v>0</v>
      </c>
      <c r="Y37" s="177">
        <f t="shared" si="9"/>
        <v>0</v>
      </c>
      <c r="Z37" s="177">
        <f t="shared" si="10"/>
        <v>0</v>
      </c>
      <c r="AA37" s="177">
        <f t="shared" si="11"/>
        <v>0</v>
      </c>
    </row>
    <row r="38" spans="4:27" ht="15" customHeight="1" x14ac:dyDescent="0.25">
      <c r="D38" s="172">
        <v>1</v>
      </c>
      <c r="E38" s="172">
        <f t="shared" si="12"/>
        <v>1</v>
      </c>
      <c r="F38" s="28" t="s">
        <v>167</v>
      </c>
      <c r="G38" s="28" t="s">
        <v>147</v>
      </c>
      <c r="H38" s="28" t="s">
        <v>106</v>
      </c>
      <c r="I38" s="31">
        <v>44945</v>
      </c>
      <c r="J38" s="28" t="s">
        <v>103</v>
      </c>
      <c r="K38" s="28" t="s">
        <v>149</v>
      </c>
      <c r="L38" s="28" t="s">
        <v>103</v>
      </c>
      <c r="M38" s="28" t="s">
        <v>149</v>
      </c>
      <c r="N38" s="29">
        <v>2.2599999999999998</v>
      </c>
      <c r="O38" s="28" t="s">
        <v>103</v>
      </c>
      <c r="P38" s="28" t="s">
        <v>149</v>
      </c>
      <c r="Q38" s="29">
        <v>1.82</v>
      </c>
      <c r="R38" s="174" t="str">
        <f t="shared" si="2"/>
        <v>A</v>
      </c>
      <c r="S38" s="177">
        <f t="shared" si="3"/>
        <v>1</v>
      </c>
      <c r="T38" s="177">
        <f t="shared" si="4"/>
        <v>1</v>
      </c>
      <c r="U38" s="177">
        <f t="shared" si="5"/>
        <v>0</v>
      </c>
      <c r="V38" s="181" t="str">
        <f t="shared" si="6"/>
        <v>Vaccinium</v>
      </c>
      <c r="W38" s="181" t="str">
        <f t="shared" si="7"/>
        <v>Vaccinium</v>
      </c>
      <c r="X38" s="177">
        <f t="shared" si="8"/>
        <v>0</v>
      </c>
      <c r="Y38" s="177">
        <f t="shared" si="9"/>
        <v>0</v>
      </c>
      <c r="Z38" s="177">
        <f t="shared" si="10"/>
        <v>0</v>
      </c>
      <c r="AA38" s="177">
        <f t="shared" si="11"/>
        <v>0</v>
      </c>
    </row>
    <row r="39" spans="4:27" ht="15" customHeight="1" x14ac:dyDescent="0.25">
      <c r="D39" s="172">
        <v>1</v>
      </c>
      <c r="E39" s="172">
        <f t="shared" si="12"/>
        <v>1</v>
      </c>
      <c r="F39" s="28" t="s">
        <v>198</v>
      </c>
      <c r="G39" s="28" t="s">
        <v>118</v>
      </c>
      <c r="H39" s="28" t="s">
        <v>106</v>
      </c>
      <c r="I39" s="31">
        <v>44956</v>
      </c>
      <c r="J39" s="28" t="s">
        <v>103</v>
      </c>
      <c r="K39" s="28" t="s">
        <v>199</v>
      </c>
      <c r="L39" s="28" t="s">
        <v>103</v>
      </c>
      <c r="M39" s="28" t="s">
        <v>199</v>
      </c>
      <c r="N39" s="29">
        <v>2.02</v>
      </c>
      <c r="O39" s="28" t="s">
        <v>103</v>
      </c>
      <c r="P39" s="28" t="s">
        <v>107</v>
      </c>
      <c r="Q39" s="29">
        <v>1.29</v>
      </c>
      <c r="R39" s="174" t="str">
        <f t="shared" si="2"/>
        <v>A</v>
      </c>
      <c r="S39" s="177">
        <f t="shared" si="3"/>
        <v>1</v>
      </c>
      <c r="T39" s="177">
        <f t="shared" si="4"/>
        <v>1</v>
      </c>
      <c r="U39" s="177">
        <f t="shared" si="5"/>
        <v>0</v>
      </c>
      <c r="V39" s="181" t="str">
        <f t="shared" si="6"/>
        <v>Vaccinium</v>
      </c>
      <c r="W39" s="181" t="str">
        <f t="shared" si="7"/>
        <v>Vaccinium</v>
      </c>
      <c r="X39" s="177">
        <f t="shared" si="8"/>
        <v>0</v>
      </c>
      <c r="Y39" s="177">
        <f t="shared" si="9"/>
        <v>0</v>
      </c>
      <c r="Z39" s="177">
        <f t="shared" si="10"/>
        <v>0</v>
      </c>
      <c r="AA39" s="177">
        <f t="shared" si="11"/>
        <v>0</v>
      </c>
    </row>
    <row r="40" spans="4:27" ht="15" customHeight="1" x14ac:dyDescent="0.25">
      <c r="D40" s="172">
        <v>1</v>
      </c>
      <c r="E40" s="172">
        <f t="shared" si="12"/>
        <v>1</v>
      </c>
      <c r="F40" s="28" t="s">
        <v>168</v>
      </c>
      <c r="G40" s="28" t="s">
        <v>118</v>
      </c>
      <c r="H40" s="28" t="s">
        <v>106</v>
      </c>
      <c r="I40" s="31">
        <v>44956</v>
      </c>
      <c r="J40" s="28" t="s">
        <v>103</v>
      </c>
      <c r="K40" s="28" t="s">
        <v>169</v>
      </c>
      <c r="L40" s="28" t="s">
        <v>103</v>
      </c>
      <c r="M40" s="28" t="s">
        <v>169</v>
      </c>
      <c r="N40" s="29">
        <v>2.15</v>
      </c>
      <c r="O40" s="28" t="s">
        <v>103</v>
      </c>
      <c r="P40" s="28" t="s">
        <v>169</v>
      </c>
      <c r="Q40" s="29">
        <v>2.14</v>
      </c>
      <c r="R40" s="174" t="str">
        <f t="shared" si="2"/>
        <v>A</v>
      </c>
      <c r="S40" s="177">
        <f t="shared" si="3"/>
        <v>1</v>
      </c>
      <c r="T40" s="177">
        <f t="shared" si="4"/>
        <v>1</v>
      </c>
      <c r="U40" s="177">
        <f t="shared" si="5"/>
        <v>0</v>
      </c>
      <c r="V40" s="181" t="str">
        <f t="shared" si="6"/>
        <v>Vaccinium</v>
      </c>
      <c r="W40" s="181" t="str">
        <f t="shared" si="7"/>
        <v>Vaccinium</v>
      </c>
      <c r="X40" s="177">
        <f t="shared" si="8"/>
        <v>0</v>
      </c>
      <c r="Y40" s="177">
        <f t="shared" si="9"/>
        <v>0</v>
      </c>
      <c r="Z40" s="177">
        <f t="shared" si="10"/>
        <v>0</v>
      </c>
      <c r="AA40" s="177">
        <f t="shared" si="11"/>
        <v>0</v>
      </c>
    </row>
    <row r="41" spans="4:27" ht="15" customHeight="1" x14ac:dyDescent="0.25">
      <c r="D41" s="172">
        <v>1</v>
      </c>
      <c r="E41" s="172">
        <f t="shared" si="12"/>
        <v>1</v>
      </c>
      <c r="F41" s="28" t="s">
        <v>170</v>
      </c>
      <c r="G41" s="28" t="s">
        <v>118</v>
      </c>
      <c r="H41" s="28" t="s">
        <v>106</v>
      </c>
      <c r="I41" s="31">
        <v>44956</v>
      </c>
      <c r="J41" s="28" t="s">
        <v>103</v>
      </c>
      <c r="K41" s="28" t="s">
        <v>169</v>
      </c>
      <c r="L41" s="28" t="s">
        <v>103</v>
      </c>
      <c r="M41" s="28" t="s">
        <v>169</v>
      </c>
      <c r="N41" s="29">
        <v>2.4</v>
      </c>
      <c r="O41" s="28" t="s">
        <v>103</v>
      </c>
      <c r="P41" s="28" t="s">
        <v>169</v>
      </c>
      <c r="Q41" s="29">
        <v>2.13</v>
      </c>
      <c r="R41" s="174" t="str">
        <f t="shared" si="2"/>
        <v>A</v>
      </c>
      <c r="S41" s="177">
        <f t="shared" si="3"/>
        <v>1</v>
      </c>
      <c r="T41" s="177">
        <f t="shared" si="4"/>
        <v>1</v>
      </c>
      <c r="U41" s="177">
        <f t="shared" si="5"/>
        <v>0</v>
      </c>
      <c r="V41" s="181" t="str">
        <f t="shared" si="6"/>
        <v>Vaccinium</v>
      </c>
      <c r="W41" s="181" t="str">
        <f t="shared" si="7"/>
        <v>Vaccinium</v>
      </c>
      <c r="X41" s="177">
        <f t="shared" si="8"/>
        <v>0</v>
      </c>
      <c r="Y41" s="177">
        <f t="shared" si="9"/>
        <v>0</v>
      </c>
      <c r="Z41" s="177">
        <f t="shared" si="10"/>
        <v>0</v>
      </c>
      <c r="AA41" s="177">
        <f t="shared" si="11"/>
        <v>0</v>
      </c>
    </row>
    <row r="42" spans="4:27" ht="15" customHeight="1" x14ac:dyDescent="0.25">
      <c r="D42" s="172">
        <v>1</v>
      </c>
      <c r="E42" s="172">
        <f t="shared" si="12"/>
        <v>1</v>
      </c>
      <c r="F42" s="28" t="s">
        <v>171</v>
      </c>
      <c r="G42" s="28" t="s">
        <v>118</v>
      </c>
      <c r="H42" s="28" t="s">
        <v>106</v>
      </c>
      <c r="I42" s="31">
        <v>44956</v>
      </c>
      <c r="J42" s="28" t="s">
        <v>103</v>
      </c>
      <c r="K42" s="28" t="s">
        <v>169</v>
      </c>
      <c r="L42" s="28" t="s">
        <v>103</v>
      </c>
      <c r="M42" s="28" t="s">
        <v>169</v>
      </c>
      <c r="N42" s="29">
        <v>2.29</v>
      </c>
      <c r="O42" s="28" t="s">
        <v>103</v>
      </c>
      <c r="P42" s="28" t="s">
        <v>169</v>
      </c>
      <c r="Q42" s="29">
        <v>2.0499999999999998</v>
      </c>
      <c r="R42" s="174" t="str">
        <f t="shared" si="2"/>
        <v>A</v>
      </c>
      <c r="S42" s="177">
        <f t="shared" si="3"/>
        <v>1</v>
      </c>
      <c r="T42" s="177">
        <f t="shared" si="4"/>
        <v>1</v>
      </c>
      <c r="U42" s="177">
        <f t="shared" si="5"/>
        <v>0</v>
      </c>
      <c r="V42" s="181" t="str">
        <f t="shared" si="6"/>
        <v>Vaccinium</v>
      </c>
      <c r="W42" s="181" t="str">
        <f t="shared" si="7"/>
        <v>Vaccinium</v>
      </c>
      <c r="X42" s="177">
        <f t="shared" si="8"/>
        <v>0</v>
      </c>
      <c r="Y42" s="177">
        <f t="shared" si="9"/>
        <v>0</v>
      </c>
      <c r="Z42" s="177">
        <f t="shared" si="10"/>
        <v>0</v>
      </c>
      <c r="AA42" s="177">
        <f t="shared" si="11"/>
        <v>0</v>
      </c>
    </row>
    <row r="43" spans="4:27" ht="15" customHeight="1" x14ac:dyDescent="0.25">
      <c r="D43" s="172"/>
      <c r="E43" s="172"/>
      <c r="I43" s="31"/>
      <c r="S43" s="177"/>
      <c r="V43" s="181"/>
      <c r="W43" s="181"/>
      <c r="AA43" s="177"/>
    </row>
    <row r="44" spans="4:27" ht="15" customHeight="1" x14ac:dyDescent="0.25">
      <c r="D44" s="172"/>
      <c r="E44" s="172"/>
      <c r="I44" s="31"/>
      <c r="S44" s="177"/>
      <c r="V44" s="181"/>
      <c r="W44" s="181"/>
      <c r="AA44" s="177"/>
    </row>
    <row r="45" spans="4:27" ht="15" customHeight="1" x14ac:dyDescent="0.25">
      <c r="D45" s="172"/>
      <c r="E45" s="172"/>
      <c r="I45" s="31"/>
      <c r="S45" s="177"/>
      <c r="V45" s="181"/>
      <c r="W45" s="181"/>
      <c r="AA45" s="177"/>
    </row>
    <row r="46" spans="4:27" ht="15" customHeight="1" x14ac:dyDescent="0.25">
      <c r="D46" s="172"/>
      <c r="E46" s="172"/>
      <c r="I46" s="31"/>
      <c r="S46" s="177"/>
      <c r="V46" s="181"/>
      <c r="W46" s="181"/>
      <c r="AA46" s="177"/>
    </row>
    <row r="47" spans="4:27" ht="15" customHeight="1" x14ac:dyDescent="0.25">
      <c r="D47" s="172"/>
      <c r="E47" s="172"/>
      <c r="I47" s="31"/>
      <c r="S47" s="177"/>
      <c r="V47" s="181"/>
      <c r="W47" s="181"/>
      <c r="AA47" s="177"/>
    </row>
    <row r="48" spans="4:27" ht="15" customHeight="1" x14ac:dyDescent="0.25">
      <c r="D48" s="172"/>
      <c r="E48" s="172"/>
      <c r="I48" s="31"/>
      <c r="S48" s="177"/>
      <c r="V48" s="181"/>
      <c r="W48" s="181"/>
      <c r="AA48" s="177"/>
    </row>
    <row r="49" spans="4:27" ht="15" customHeight="1" x14ac:dyDescent="0.25">
      <c r="D49" s="172"/>
      <c r="E49" s="172"/>
      <c r="I49" s="31"/>
      <c r="S49" s="177"/>
      <c r="V49" s="181"/>
      <c r="W49" s="181"/>
      <c r="AA49" s="177"/>
    </row>
    <row r="50" spans="4:27" ht="15" customHeight="1" x14ac:dyDescent="0.25">
      <c r="D50" s="172"/>
      <c r="E50" s="172"/>
      <c r="I50" s="31"/>
      <c r="S50" s="177"/>
      <c r="V50" s="181"/>
      <c r="W50" s="181"/>
      <c r="AA50" s="177"/>
    </row>
    <row r="51" spans="4:27" ht="15" customHeight="1" x14ac:dyDescent="0.25">
      <c r="D51" s="172"/>
      <c r="E51" s="172"/>
      <c r="I51" s="31"/>
      <c r="S51" s="177"/>
      <c r="V51" s="181"/>
      <c r="W51" s="181"/>
      <c r="AA51" s="177"/>
    </row>
    <row r="52" spans="4:27" ht="15" customHeight="1" x14ac:dyDescent="0.25">
      <c r="D52" s="172"/>
      <c r="E52" s="172"/>
      <c r="I52" s="31"/>
      <c r="S52" s="177"/>
      <c r="V52" s="181"/>
      <c r="W52" s="181"/>
      <c r="AA52" s="177"/>
    </row>
    <row r="53" spans="4:27" ht="15" customHeight="1" x14ac:dyDescent="0.25">
      <c r="D53" s="172"/>
      <c r="E53" s="172"/>
      <c r="I53" s="31"/>
      <c r="S53" s="177"/>
      <c r="V53" s="181"/>
      <c r="W53" s="181"/>
      <c r="AA53" s="177"/>
    </row>
    <row r="54" spans="4:27" ht="15" customHeight="1" x14ac:dyDescent="0.25">
      <c r="D54" s="172"/>
      <c r="E54" s="172"/>
      <c r="I54" s="31"/>
      <c r="S54" s="177"/>
      <c r="V54" s="181"/>
      <c r="W54" s="181"/>
      <c r="AA54" s="177"/>
    </row>
    <row r="55" spans="4:27" ht="15" customHeight="1" x14ac:dyDescent="0.25">
      <c r="D55" s="172"/>
      <c r="E55" s="172"/>
      <c r="I55" s="31"/>
      <c r="S55" s="177"/>
      <c r="V55" s="181"/>
      <c r="W55" s="181"/>
      <c r="AA55" s="177"/>
    </row>
    <row r="56" spans="4:27" ht="15" customHeight="1" x14ac:dyDescent="0.25">
      <c r="D56" s="172"/>
      <c r="E56" s="172"/>
      <c r="I56" s="31"/>
      <c r="S56" s="177"/>
      <c r="V56" s="181"/>
      <c r="W56" s="181"/>
      <c r="AA56" s="177"/>
    </row>
    <row r="57" spans="4:27" ht="15" customHeight="1" x14ac:dyDescent="0.25">
      <c r="D57" s="172"/>
      <c r="E57" s="172"/>
      <c r="I57" s="31"/>
      <c r="S57" s="177"/>
      <c r="V57" s="181"/>
      <c r="W57" s="181"/>
      <c r="AA57" s="177"/>
    </row>
    <row r="58" spans="4:27" ht="15" customHeight="1" x14ac:dyDescent="0.25">
      <c r="D58" s="172"/>
      <c r="E58" s="172"/>
      <c r="I58" s="31"/>
      <c r="S58" s="177"/>
      <c r="V58" s="181"/>
      <c r="W58" s="181"/>
      <c r="AA58" s="177"/>
    </row>
    <row r="59" spans="4:27" ht="15" customHeight="1" x14ac:dyDescent="0.25">
      <c r="D59" s="172"/>
      <c r="E59" s="172"/>
      <c r="I59" s="31"/>
      <c r="S59" s="177"/>
      <c r="V59" s="181"/>
      <c r="W59" s="181"/>
      <c r="AA59" s="177"/>
    </row>
    <row r="60" spans="4:27" ht="15" customHeight="1" x14ac:dyDescent="0.25">
      <c r="D60" s="172"/>
      <c r="E60" s="172"/>
      <c r="I60" s="31"/>
      <c r="S60" s="177"/>
      <c r="V60" s="181"/>
      <c r="W60" s="181"/>
      <c r="AA60" s="177"/>
    </row>
    <row r="61" spans="4:27" ht="15" customHeight="1" x14ac:dyDescent="0.25">
      <c r="D61" s="172"/>
      <c r="E61" s="172"/>
      <c r="I61" s="31"/>
      <c r="S61" s="177"/>
      <c r="V61" s="181"/>
      <c r="W61" s="181"/>
      <c r="AA61" s="177"/>
    </row>
    <row r="62" spans="4:27" ht="15" customHeight="1" x14ac:dyDescent="0.25">
      <c r="D62" s="172"/>
      <c r="E62" s="172"/>
      <c r="I62" s="31"/>
      <c r="S62" s="177"/>
      <c r="V62" s="181"/>
      <c r="W62" s="181"/>
      <c r="AA62" s="177"/>
    </row>
    <row r="63" spans="4:27" ht="15" customHeight="1" x14ac:dyDescent="0.25">
      <c r="D63" s="172"/>
      <c r="E63" s="172"/>
      <c r="I63" s="31"/>
      <c r="S63" s="177"/>
      <c r="V63" s="181"/>
      <c r="W63" s="181"/>
      <c r="AA63" s="177"/>
    </row>
    <row r="64" spans="4:27" ht="15" customHeight="1" x14ac:dyDescent="0.25">
      <c r="D64" s="172"/>
      <c r="E64" s="172"/>
      <c r="I64" s="31"/>
      <c r="S64" s="177"/>
      <c r="V64" s="181"/>
      <c r="W64" s="181"/>
      <c r="AA64" s="177"/>
    </row>
    <row r="65" spans="4:27" ht="15" customHeight="1" x14ac:dyDescent="0.25">
      <c r="D65" s="172"/>
      <c r="E65" s="172"/>
      <c r="I65" s="31"/>
      <c r="S65" s="177"/>
      <c r="V65" s="181"/>
      <c r="W65" s="181"/>
      <c r="AA65" s="177"/>
    </row>
    <row r="66" spans="4:27" ht="15" customHeight="1" x14ac:dyDescent="0.25">
      <c r="D66" s="172"/>
      <c r="E66" s="172"/>
      <c r="I66" s="31"/>
      <c r="S66" s="177"/>
      <c r="V66" s="181"/>
      <c r="W66" s="181"/>
      <c r="AA66" s="177"/>
    </row>
    <row r="67" spans="4:27" ht="15" customHeight="1" x14ac:dyDescent="0.25">
      <c r="D67" s="172"/>
      <c r="E67" s="172"/>
      <c r="I67" s="31"/>
      <c r="S67" s="177"/>
      <c r="V67" s="181"/>
      <c r="W67" s="181"/>
      <c r="AA67" s="177"/>
    </row>
    <row r="68" spans="4:27" ht="15" customHeight="1" x14ac:dyDescent="0.25">
      <c r="D68" s="172"/>
      <c r="E68" s="172"/>
      <c r="I68" s="31"/>
      <c r="S68" s="177"/>
      <c r="V68" s="181"/>
      <c r="W68" s="181"/>
      <c r="AA68" s="177"/>
    </row>
    <row r="69" spans="4:27" ht="15" customHeight="1" x14ac:dyDescent="0.25">
      <c r="D69" s="172"/>
      <c r="E69" s="172"/>
      <c r="I69" s="31"/>
      <c r="S69" s="177"/>
      <c r="V69" s="181"/>
      <c r="W69" s="181"/>
      <c r="AA69" s="177"/>
    </row>
    <row r="70" spans="4:27" ht="15" customHeight="1" x14ac:dyDescent="0.25">
      <c r="D70" s="172"/>
      <c r="E70" s="172"/>
      <c r="I70" s="31"/>
      <c r="S70" s="177"/>
      <c r="V70" s="181"/>
      <c r="W70" s="181"/>
      <c r="AA70" s="177"/>
    </row>
    <row r="71" spans="4:27" ht="15" customHeight="1" x14ac:dyDescent="0.25">
      <c r="D71" s="172"/>
      <c r="E71" s="172"/>
      <c r="I71" s="31"/>
      <c r="S71" s="177"/>
      <c r="V71" s="181"/>
      <c r="W71" s="181"/>
      <c r="AA71" s="177"/>
    </row>
    <row r="72" spans="4:27" ht="15" customHeight="1" x14ac:dyDescent="0.25">
      <c r="D72" s="172"/>
      <c r="E72" s="172"/>
      <c r="I72" s="31"/>
      <c r="S72" s="177"/>
      <c r="V72" s="181"/>
      <c r="W72" s="181"/>
      <c r="AA72" s="177"/>
    </row>
    <row r="73" spans="4:27" ht="15" customHeight="1" x14ac:dyDescent="0.25">
      <c r="D73" s="172"/>
      <c r="E73" s="172"/>
      <c r="I73" s="31"/>
      <c r="S73" s="177"/>
      <c r="V73" s="181"/>
      <c r="W73" s="181"/>
      <c r="AA73" s="177"/>
    </row>
    <row r="74" spans="4:27" ht="15" customHeight="1" x14ac:dyDescent="0.25">
      <c r="D74" s="172"/>
      <c r="E74" s="172"/>
      <c r="I74" s="31"/>
      <c r="S74" s="177"/>
      <c r="V74" s="181"/>
      <c r="W74" s="181"/>
      <c r="AA74" s="177"/>
    </row>
    <row r="75" spans="4:27" ht="15" customHeight="1" x14ac:dyDescent="0.25">
      <c r="D75" s="172"/>
      <c r="E75" s="172"/>
      <c r="I75" s="31"/>
      <c r="S75" s="177"/>
      <c r="V75" s="181"/>
      <c r="W75" s="181"/>
      <c r="AA75" s="177"/>
    </row>
    <row r="76" spans="4:27" ht="15" customHeight="1" x14ac:dyDescent="0.25">
      <c r="D76" s="172"/>
      <c r="E76" s="172"/>
      <c r="I76" s="31"/>
      <c r="S76" s="177"/>
      <c r="V76" s="181"/>
      <c r="W76" s="181"/>
      <c r="AA76" s="177"/>
    </row>
    <row r="77" spans="4:27" ht="15" customHeight="1" x14ac:dyDescent="0.25">
      <c r="D77" s="172"/>
      <c r="E77" s="172"/>
      <c r="I77" s="31"/>
      <c r="S77" s="177"/>
      <c r="V77" s="181"/>
      <c r="W77" s="181"/>
      <c r="AA77" s="177"/>
    </row>
    <row r="78" spans="4:27" ht="15" customHeight="1" x14ac:dyDescent="0.25">
      <c r="D78" s="172"/>
      <c r="E78" s="172"/>
      <c r="I78" s="31"/>
      <c r="S78" s="177"/>
      <c r="V78" s="181"/>
      <c r="W78" s="181"/>
      <c r="AA78" s="177"/>
    </row>
    <row r="79" spans="4:27" ht="15" customHeight="1" x14ac:dyDescent="0.25">
      <c r="D79" s="172"/>
      <c r="E79" s="172"/>
      <c r="I79" s="31"/>
      <c r="S79" s="177"/>
      <c r="V79" s="181"/>
      <c r="W79" s="181"/>
      <c r="AA79" s="177"/>
    </row>
    <row r="80" spans="4:27" ht="15" customHeight="1" x14ac:dyDescent="0.25">
      <c r="D80" s="172"/>
      <c r="E80" s="172"/>
      <c r="I80" s="31"/>
      <c r="S80" s="177"/>
      <c r="V80" s="181"/>
      <c r="W80" s="181"/>
      <c r="AA80" s="177"/>
    </row>
    <row r="81" spans="4:27" ht="15" customHeight="1" x14ac:dyDescent="0.25">
      <c r="D81" s="172"/>
      <c r="E81" s="172"/>
      <c r="I81" s="31"/>
      <c r="S81" s="177"/>
      <c r="V81" s="181"/>
      <c r="W81" s="181"/>
      <c r="AA81" s="177"/>
    </row>
    <row r="82" spans="4:27" ht="15" customHeight="1" x14ac:dyDescent="0.25">
      <c r="D82" s="172"/>
      <c r="E82" s="172"/>
      <c r="I82" s="31"/>
      <c r="S82" s="177"/>
      <c r="V82" s="181"/>
      <c r="W82" s="181"/>
      <c r="AA82" s="177"/>
    </row>
    <row r="83" spans="4:27" ht="15" customHeight="1" x14ac:dyDescent="0.25">
      <c r="D83" s="172"/>
      <c r="E83" s="172"/>
      <c r="I83" s="31"/>
      <c r="S83" s="177"/>
      <c r="V83" s="181"/>
      <c r="W83" s="181"/>
      <c r="AA83" s="177"/>
    </row>
    <row r="84" spans="4:27" ht="15" customHeight="1" x14ac:dyDescent="0.25">
      <c r="D84" s="172"/>
      <c r="E84" s="172"/>
      <c r="I84" s="31"/>
      <c r="S84" s="177"/>
      <c r="V84" s="181"/>
      <c r="W84" s="181"/>
      <c r="AA84" s="177"/>
    </row>
    <row r="85" spans="4:27" ht="15" customHeight="1" x14ac:dyDescent="0.25">
      <c r="D85" s="172"/>
      <c r="E85" s="172"/>
      <c r="I85" s="31"/>
      <c r="S85" s="177"/>
      <c r="V85" s="181"/>
      <c r="W85" s="181"/>
      <c r="AA85" s="177"/>
    </row>
    <row r="86" spans="4:27" ht="15" customHeight="1" x14ac:dyDescent="0.25">
      <c r="D86" s="172"/>
      <c r="E86" s="172"/>
      <c r="I86" s="31"/>
      <c r="S86" s="177"/>
      <c r="V86" s="181"/>
      <c r="W86" s="181"/>
      <c r="AA86" s="177"/>
    </row>
    <row r="87" spans="4:27" ht="15" customHeight="1" x14ac:dyDescent="0.25">
      <c r="D87" s="172"/>
      <c r="E87" s="172"/>
      <c r="I87" s="31"/>
      <c r="S87" s="177"/>
      <c r="V87" s="181"/>
      <c r="W87" s="181"/>
      <c r="AA87" s="177"/>
    </row>
    <row r="88" spans="4:27" ht="15" customHeight="1" x14ac:dyDescent="0.25">
      <c r="D88" s="172"/>
      <c r="E88" s="172"/>
      <c r="I88" s="31"/>
      <c r="S88" s="177"/>
      <c r="V88" s="181"/>
      <c r="W88" s="181"/>
      <c r="AA88" s="177"/>
    </row>
    <row r="89" spans="4:27" ht="15" customHeight="1" x14ac:dyDescent="0.25">
      <c r="D89" s="172"/>
      <c r="E89" s="172"/>
      <c r="I89" s="31"/>
      <c r="S89" s="177"/>
      <c r="V89" s="181"/>
      <c r="W89" s="181"/>
      <c r="AA89" s="177"/>
    </row>
    <row r="90" spans="4:27" ht="15" customHeight="1" x14ac:dyDescent="0.25">
      <c r="D90" s="172"/>
      <c r="E90" s="172"/>
      <c r="I90" s="31"/>
      <c r="S90" s="177"/>
      <c r="V90" s="181"/>
      <c r="W90" s="181"/>
      <c r="AA90" s="177"/>
    </row>
    <row r="91" spans="4:27" ht="15" customHeight="1" x14ac:dyDescent="0.25">
      <c r="D91" s="172"/>
      <c r="E91" s="172"/>
      <c r="I91" s="31"/>
      <c r="S91" s="177"/>
      <c r="V91" s="181"/>
      <c r="W91" s="181"/>
      <c r="AA91" s="177"/>
    </row>
    <row r="92" spans="4:27" ht="15" customHeight="1" x14ac:dyDescent="0.25">
      <c r="D92" s="172"/>
      <c r="E92" s="172"/>
      <c r="I92" s="31"/>
      <c r="S92" s="177"/>
      <c r="V92" s="181"/>
      <c r="W92" s="181"/>
      <c r="AA92" s="177"/>
    </row>
    <row r="93" spans="4:27" ht="15" customHeight="1" x14ac:dyDescent="0.25">
      <c r="D93" s="172"/>
      <c r="E93" s="172"/>
      <c r="I93" s="31"/>
      <c r="S93" s="177"/>
      <c r="V93" s="181"/>
      <c r="W93" s="181"/>
      <c r="AA93" s="177"/>
    </row>
    <row r="94" spans="4:27" ht="15" customHeight="1" x14ac:dyDescent="0.25">
      <c r="D94" s="172"/>
      <c r="E94" s="172"/>
      <c r="I94" s="31"/>
      <c r="S94" s="177"/>
      <c r="V94" s="181"/>
      <c r="W94" s="181"/>
      <c r="AA94" s="177"/>
    </row>
    <row r="95" spans="4:27" ht="15" customHeight="1" x14ac:dyDescent="0.25">
      <c r="D95" s="172"/>
      <c r="E95" s="172"/>
      <c r="I95" s="31"/>
      <c r="S95" s="177"/>
      <c r="V95" s="181"/>
      <c r="W95" s="181"/>
      <c r="AA95" s="177"/>
    </row>
    <row r="96" spans="4:27" ht="15" customHeight="1" x14ac:dyDescent="0.25">
      <c r="D96" s="172"/>
      <c r="E96" s="172"/>
      <c r="I96" s="31"/>
      <c r="S96" s="177"/>
      <c r="V96" s="181"/>
      <c r="W96" s="181"/>
      <c r="AA96" s="177"/>
    </row>
    <row r="97" spans="4:27" ht="15" customHeight="1" x14ac:dyDescent="0.25">
      <c r="D97" s="172"/>
      <c r="E97" s="172"/>
      <c r="I97" s="31"/>
      <c r="S97" s="177"/>
      <c r="V97" s="181"/>
      <c r="W97" s="181"/>
      <c r="AA97" s="177"/>
    </row>
    <row r="98" spans="4:27" ht="15" customHeight="1" x14ac:dyDescent="0.25">
      <c r="D98" s="172"/>
      <c r="E98" s="172"/>
      <c r="I98" s="31"/>
      <c r="S98" s="177"/>
      <c r="V98" s="181"/>
      <c r="W98" s="181"/>
      <c r="AA98" s="177"/>
    </row>
    <row r="99" spans="4:27" ht="15" customHeight="1" x14ac:dyDescent="0.25">
      <c r="D99" s="172"/>
      <c r="E99" s="172"/>
      <c r="I99" s="31"/>
      <c r="S99" s="177"/>
      <c r="V99" s="181"/>
      <c r="W99" s="181"/>
      <c r="AA99" s="177"/>
    </row>
    <row r="100" spans="4:27" ht="15" customHeight="1" x14ac:dyDescent="0.25">
      <c r="D100" s="172"/>
      <c r="E100" s="172"/>
      <c r="I100" s="31"/>
      <c r="S100" s="177"/>
      <c r="V100" s="181"/>
      <c r="W100" s="181"/>
      <c r="AA100" s="177"/>
    </row>
    <row r="101" spans="4:27" ht="15" customHeight="1" x14ac:dyDescent="0.25">
      <c r="D101" s="172"/>
      <c r="E101" s="172"/>
      <c r="I101" s="31"/>
      <c r="S101" s="177"/>
      <c r="V101" s="181"/>
      <c r="W101" s="181"/>
      <c r="AA101" s="177"/>
    </row>
    <row r="102" spans="4:27" ht="15" customHeight="1" x14ac:dyDescent="0.25">
      <c r="D102" s="172"/>
      <c r="E102" s="172"/>
      <c r="I102" s="31"/>
      <c r="S102" s="177"/>
      <c r="V102" s="181"/>
      <c r="W102" s="181"/>
      <c r="AA102" s="177"/>
    </row>
    <row r="103" spans="4:27" ht="15" customHeight="1" x14ac:dyDescent="0.25">
      <c r="D103" s="172"/>
      <c r="E103" s="172"/>
      <c r="I103" s="31"/>
      <c r="S103" s="177"/>
      <c r="V103" s="181"/>
      <c r="W103" s="181"/>
      <c r="AA103" s="177"/>
    </row>
    <row r="104" spans="4:27" ht="15" customHeight="1" x14ac:dyDescent="0.25">
      <c r="D104" s="172"/>
      <c r="E104" s="172"/>
      <c r="I104" s="31"/>
      <c r="S104" s="177"/>
      <c r="V104" s="181"/>
      <c r="W104" s="181"/>
      <c r="AA104" s="177"/>
    </row>
    <row r="105" spans="4:27" ht="15" customHeight="1" x14ac:dyDescent="0.25">
      <c r="D105" s="172"/>
      <c r="E105" s="172"/>
      <c r="I105" s="31"/>
      <c r="S105" s="177"/>
      <c r="V105" s="181"/>
      <c r="W105" s="181"/>
      <c r="AA105" s="177"/>
    </row>
    <row r="106" spans="4:27" ht="15" customHeight="1" x14ac:dyDescent="0.25">
      <c r="D106" s="172"/>
      <c r="E106" s="172"/>
      <c r="I106" s="31"/>
      <c r="S106" s="177"/>
      <c r="V106" s="181"/>
      <c r="W106" s="181"/>
      <c r="AA106" s="177"/>
    </row>
    <row r="107" spans="4:27" ht="15" customHeight="1" x14ac:dyDescent="0.25">
      <c r="D107" s="172"/>
      <c r="E107" s="172"/>
      <c r="I107" s="31"/>
      <c r="S107" s="177"/>
      <c r="V107" s="181"/>
      <c r="W107" s="181"/>
      <c r="AA107" s="177"/>
    </row>
    <row r="108" spans="4:27" ht="15" customHeight="1" x14ac:dyDescent="0.25">
      <c r="D108" s="172"/>
      <c r="E108" s="172"/>
      <c r="I108" s="31"/>
      <c r="S108" s="177"/>
      <c r="V108" s="181"/>
      <c r="W108" s="181"/>
      <c r="AA108" s="177"/>
    </row>
    <row r="109" spans="4:27" ht="15" customHeight="1" x14ac:dyDescent="0.25">
      <c r="D109" s="172"/>
      <c r="E109" s="172"/>
      <c r="I109" s="31"/>
      <c r="S109" s="177"/>
      <c r="V109" s="181"/>
      <c r="W109" s="181"/>
      <c r="AA109" s="177"/>
    </row>
    <row r="110" spans="4:27" ht="15" customHeight="1" x14ac:dyDescent="0.25">
      <c r="D110" s="172"/>
      <c r="E110" s="172"/>
      <c r="I110" s="31"/>
      <c r="S110" s="177"/>
      <c r="V110" s="181"/>
      <c r="W110" s="181"/>
      <c r="AA110" s="177"/>
    </row>
    <row r="111" spans="4:27" ht="15" customHeight="1" x14ac:dyDescent="0.25">
      <c r="D111" s="172"/>
      <c r="E111" s="172"/>
      <c r="I111" s="31"/>
      <c r="S111" s="177"/>
      <c r="V111" s="181"/>
      <c r="W111" s="181"/>
      <c r="AA111" s="177"/>
    </row>
    <row r="112" spans="4:27" ht="15" customHeight="1" x14ac:dyDescent="0.25">
      <c r="D112" s="172"/>
      <c r="E112" s="172"/>
      <c r="I112" s="31"/>
      <c r="S112" s="177"/>
      <c r="V112" s="181"/>
      <c r="W112" s="181"/>
      <c r="AA112" s="177"/>
    </row>
    <row r="113" spans="4:27" ht="15" customHeight="1" x14ac:dyDescent="0.25">
      <c r="D113" s="172"/>
      <c r="E113" s="172"/>
      <c r="I113" s="31"/>
      <c r="S113" s="177"/>
      <c r="V113" s="181"/>
      <c r="W113" s="181"/>
      <c r="AA113" s="177"/>
    </row>
    <row r="114" spans="4:27" ht="15" customHeight="1" x14ac:dyDescent="0.25">
      <c r="D114" s="172"/>
      <c r="E114" s="172"/>
      <c r="I114" s="31"/>
      <c r="S114" s="177"/>
      <c r="V114" s="181"/>
      <c r="W114" s="181"/>
      <c r="AA114" s="177"/>
    </row>
    <row r="115" spans="4:27" ht="15" customHeight="1" x14ac:dyDescent="0.25">
      <c r="D115" s="172"/>
      <c r="E115" s="172"/>
      <c r="I115" s="31"/>
      <c r="S115" s="177"/>
      <c r="V115" s="181"/>
      <c r="W115" s="181"/>
      <c r="AA115" s="177"/>
    </row>
    <row r="116" spans="4:27" ht="15" customHeight="1" x14ac:dyDescent="0.25">
      <c r="D116" s="172"/>
      <c r="E116" s="172"/>
      <c r="I116" s="31"/>
      <c r="S116" s="177"/>
      <c r="V116" s="181"/>
      <c r="W116" s="181"/>
      <c r="AA116" s="177"/>
    </row>
    <row r="117" spans="4:27" ht="15" customHeight="1" x14ac:dyDescent="0.25">
      <c r="D117" s="172"/>
      <c r="E117" s="172"/>
      <c r="I117" s="31"/>
      <c r="S117" s="177"/>
      <c r="V117" s="181"/>
      <c r="W117" s="181"/>
      <c r="AA117" s="177"/>
    </row>
    <row r="118" spans="4:27" ht="15" customHeight="1" x14ac:dyDescent="0.25">
      <c r="D118" s="172"/>
      <c r="E118" s="172"/>
      <c r="I118" s="31"/>
      <c r="S118" s="177"/>
      <c r="V118" s="181"/>
      <c r="W118" s="181"/>
      <c r="AA118" s="177"/>
    </row>
    <row r="119" spans="4:27" ht="15" customHeight="1" x14ac:dyDescent="0.25">
      <c r="D119" s="172"/>
      <c r="E119" s="172"/>
      <c r="I119" s="31"/>
      <c r="S119" s="177"/>
      <c r="V119" s="181"/>
      <c r="W119" s="181"/>
      <c r="AA119" s="177"/>
    </row>
    <row r="120" spans="4:27" ht="15" customHeight="1" x14ac:dyDescent="0.25">
      <c r="D120" s="172"/>
      <c r="E120" s="172"/>
      <c r="I120" s="31"/>
      <c r="S120" s="177"/>
      <c r="V120" s="181"/>
      <c r="W120" s="181"/>
      <c r="AA120" s="177"/>
    </row>
    <row r="121" spans="4:27" ht="15" customHeight="1" x14ac:dyDescent="0.25">
      <c r="D121" s="172"/>
      <c r="E121" s="172"/>
      <c r="I121" s="31"/>
      <c r="S121" s="177"/>
      <c r="V121" s="181"/>
      <c r="W121" s="181"/>
      <c r="AA121" s="177"/>
    </row>
    <row r="122" spans="4:27" ht="15" customHeight="1" x14ac:dyDescent="0.25">
      <c r="D122" s="172"/>
      <c r="E122" s="172"/>
      <c r="I122" s="31"/>
      <c r="S122" s="177"/>
      <c r="V122" s="181"/>
      <c r="W122" s="181"/>
      <c r="AA122" s="177"/>
    </row>
    <row r="123" spans="4:27" ht="15" customHeight="1" x14ac:dyDescent="0.25">
      <c r="D123" s="172"/>
      <c r="E123" s="172"/>
      <c r="I123" s="31"/>
      <c r="S123" s="177"/>
      <c r="V123" s="181"/>
      <c r="W123" s="181"/>
      <c r="AA123" s="177"/>
    </row>
    <row r="124" spans="4:27" ht="15" customHeight="1" x14ac:dyDescent="0.25">
      <c r="D124" s="172"/>
      <c r="E124" s="172"/>
      <c r="I124" s="31"/>
      <c r="S124" s="177"/>
      <c r="V124" s="181"/>
      <c r="W124" s="181"/>
      <c r="AA124" s="177"/>
    </row>
    <row r="125" spans="4:27" ht="15" customHeight="1" x14ac:dyDescent="0.25">
      <c r="D125" s="172"/>
      <c r="E125" s="172"/>
      <c r="I125" s="31"/>
      <c r="S125" s="177"/>
      <c r="V125" s="181"/>
      <c r="W125" s="181"/>
      <c r="AA125" s="177"/>
    </row>
    <row r="126" spans="4:27" ht="15" customHeight="1" x14ac:dyDescent="0.25">
      <c r="I126" s="31"/>
    </row>
    <row r="127" spans="4:27" ht="15" customHeight="1" x14ac:dyDescent="0.25">
      <c r="I127" s="31"/>
    </row>
    <row r="128" spans="4:27" ht="15" customHeight="1" x14ac:dyDescent="0.25">
      <c r="I128" s="31"/>
    </row>
    <row r="129" spans="9:9" ht="15" customHeight="1" x14ac:dyDescent="0.25">
      <c r="I129" s="31"/>
    </row>
    <row r="130" spans="9:9" ht="15" customHeight="1" x14ac:dyDescent="0.25">
      <c r="I130" s="31"/>
    </row>
    <row r="131" spans="9:9" ht="15" customHeight="1" x14ac:dyDescent="0.25">
      <c r="I131" s="31"/>
    </row>
    <row r="132" spans="9:9" ht="15" customHeight="1" x14ac:dyDescent="0.25">
      <c r="I132" s="31"/>
    </row>
    <row r="133" spans="9:9" ht="15" customHeight="1" x14ac:dyDescent="0.25">
      <c r="I133" s="31"/>
    </row>
    <row r="134" spans="9:9" ht="15" customHeight="1" x14ac:dyDescent="0.25">
      <c r="I134" s="31"/>
    </row>
    <row r="135" spans="9:9" ht="15" customHeight="1" x14ac:dyDescent="0.25">
      <c r="I135" s="31"/>
    </row>
    <row r="136" spans="9:9" ht="15" customHeight="1" x14ac:dyDescent="0.25">
      <c r="I136" s="31"/>
    </row>
    <row r="137" spans="9:9" ht="15" customHeight="1" x14ac:dyDescent="0.25">
      <c r="I137" s="31"/>
    </row>
    <row r="138" spans="9:9" ht="15" customHeight="1" x14ac:dyDescent="0.25">
      <c r="I138" s="31"/>
    </row>
    <row r="139" spans="9:9" ht="15" customHeight="1" x14ac:dyDescent="0.25">
      <c r="I139" s="31"/>
    </row>
    <row r="140" spans="9:9" ht="15" customHeight="1" x14ac:dyDescent="0.25">
      <c r="I140" s="31"/>
    </row>
    <row r="141" spans="9:9" ht="15" customHeight="1" x14ac:dyDescent="0.25">
      <c r="I141" s="31"/>
    </row>
    <row r="142" spans="9:9" ht="15" customHeight="1" x14ac:dyDescent="0.25">
      <c r="I142" s="31"/>
    </row>
    <row r="143" spans="9:9" ht="15" customHeight="1" x14ac:dyDescent="0.25">
      <c r="I143" s="31"/>
    </row>
    <row r="144" spans="9:9" ht="15" customHeight="1" x14ac:dyDescent="0.25">
      <c r="I144" s="31"/>
    </row>
    <row r="145" spans="9:9" ht="15" customHeight="1" x14ac:dyDescent="0.25">
      <c r="I145" s="31"/>
    </row>
    <row r="146" spans="9:9" ht="15" customHeight="1" x14ac:dyDescent="0.25">
      <c r="I146" s="31"/>
    </row>
    <row r="147" spans="9:9" ht="15" customHeight="1" x14ac:dyDescent="0.25">
      <c r="I147" s="31"/>
    </row>
    <row r="148" spans="9:9" ht="15" customHeight="1" x14ac:dyDescent="0.25">
      <c r="I148" s="31"/>
    </row>
    <row r="149" spans="9:9" ht="15" customHeight="1" x14ac:dyDescent="0.25">
      <c r="I149" s="31"/>
    </row>
    <row r="150" spans="9:9" ht="15" customHeight="1" x14ac:dyDescent="0.25">
      <c r="I150" s="31"/>
    </row>
    <row r="151" spans="9:9" ht="15" customHeight="1" x14ac:dyDescent="0.25">
      <c r="I151" s="31"/>
    </row>
    <row r="152" spans="9:9" ht="15" customHeight="1" x14ac:dyDescent="0.25">
      <c r="I152" s="31"/>
    </row>
    <row r="153" spans="9:9" ht="15" customHeight="1" x14ac:dyDescent="0.25">
      <c r="I153" s="31"/>
    </row>
    <row r="154" spans="9:9" ht="15" customHeight="1" x14ac:dyDescent="0.25">
      <c r="I154" s="31"/>
    </row>
    <row r="155" spans="9:9" ht="15" customHeight="1" x14ac:dyDescent="0.25">
      <c r="I155" s="31"/>
    </row>
    <row r="156" spans="9:9" ht="15" customHeight="1" x14ac:dyDescent="0.25">
      <c r="I156" s="31"/>
    </row>
    <row r="157" spans="9:9" ht="15" customHeight="1" x14ac:dyDescent="0.25">
      <c r="I157" s="31"/>
    </row>
    <row r="158" spans="9:9" ht="15" customHeight="1" x14ac:dyDescent="0.25">
      <c r="I158" s="31"/>
    </row>
    <row r="159" spans="9:9" ht="15" customHeight="1" x14ac:dyDescent="0.25">
      <c r="I159" s="31"/>
    </row>
    <row r="160" spans="9:9" ht="15" customHeight="1" x14ac:dyDescent="0.25">
      <c r="I160" s="31"/>
    </row>
    <row r="161" spans="9:9" ht="15" customHeight="1" x14ac:dyDescent="0.25">
      <c r="I161" s="31"/>
    </row>
    <row r="162" spans="9:9" ht="15" customHeight="1" x14ac:dyDescent="0.25">
      <c r="I162" s="31"/>
    </row>
    <row r="163" spans="9:9" ht="15" customHeight="1" x14ac:dyDescent="0.25">
      <c r="I163" s="31"/>
    </row>
    <row r="164" spans="9:9" ht="15" customHeight="1" x14ac:dyDescent="0.25">
      <c r="I164" s="31"/>
    </row>
    <row r="165" spans="9:9" ht="15" customHeight="1" x14ac:dyDescent="0.25">
      <c r="I165" s="31"/>
    </row>
    <row r="166" spans="9:9" ht="15" customHeight="1" x14ac:dyDescent="0.25">
      <c r="I166" s="31"/>
    </row>
    <row r="167" spans="9:9" ht="15" customHeight="1" x14ac:dyDescent="0.25">
      <c r="I167" s="31"/>
    </row>
    <row r="168" spans="9:9" ht="15" customHeight="1" x14ac:dyDescent="0.25">
      <c r="I168" s="31"/>
    </row>
    <row r="169" spans="9:9" ht="15" customHeight="1" x14ac:dyDescent="0.25">
      <c r="I169" s="31"/>
    </row>
    <row r="170" spans="9:9" ht="15" customHeight="1" x14ac:dyDescent="0.25">
      <c r="I170" s="31"/>
    </row>
    <row r="171" spans="9:9" ht="15" customHeight="1" x14ac:dyDescent="0.25">
      <c r="I171" s="31"/>
    </row>
    <row r="172" spans="9:9" ht="15" customHeight="1" x14ac:dyDescent="0.25">
      <c r="I172" s="31"/>
    </row>
    <row r="173" spans="9:9" ht="15" customHeight="1" x14ac:dyDescent="0.25">
      <c r="I173" s="31"/>
    </row>
    <row r="174" spans="9:9" ht="15" customHeight="1" x14ac:dyDescent="0.25">
      <c r="I174" s="31"/>
    </row>
    <row r="175" spans="9:9" ht="15" customHeight="1" x14ac:dyDescent="0.25">
      <c r="I175" s="31"/>
    </row>
    <row r="176" spans="9:9" ht="15" customHeight="1" x14ac:dyDescent="0.25">
      <c r="I176" s="31"/>
    </row>
    <row r="177" spans="9:9" ht="15" customHeight="1" x14ac:dyDescent="0.25">
      <c r="I177" s="31"/>
    </row>
    <row r="178" spans="9:9" ht="15" customHeight="1" x14ac:dyDescent="0.25">
      <c r="I178" s="31"/>
    </row>
    <row r="179" spans="9:9" ht="15" customHeight="1" x14ac:dyDescent="0.25">
      <c r="I179" s="31"/>
    </row>
    <row r="180" spans="9:9" ht="15" customHeight="1" x14ac:dyDescent="0.25">
      <c r="I180" s="31"/>
    </row>
    <row r="181" spans="9:9" ht="15" customHeight="1" x14ac:dyDescent="0.25">
      <c r="I181" s="31"/>
    </row>
    <row r="182" spans="9:9" ht="15" customHeight="1" x14ac:dyDescent="0.25">
      <c r="I182" s="31"/>
    </row>
    <row r="183" spans="9:9" ht="15" customHeight="1" x14ac:dyDescent="0.25">
      <c r="I183" s="31"/>
    </row>
    <row r="184" spans="9:9" ht="15" customHeight="1" x14ac:dyDescent="0.25">
      <c r="I184" s="31"/>
    </row>
    <row r="185" spans="9:9" ht="15" customHeight="1" x14ac:dyDescent="0.25">
      <c r="I185" s="31"/>
    </row>
    <row r="186" spans="9:9" ht="15" customHeight="1" x14ac:dyDescent="0.25">
      <c r="I186" s="31"/>
    </row>
    <row r="187" spans="9:9" ht="15" customHeight="1" x14ac:dyDescent="0.25">
      <c r="I187" s="31"/>
    </row>
    <row r="188" spans="9:9" ht="15" customHeight="1" x14ac:dyDescent="0.25">
      <c r="I188" s="31"/>
    </row>
    <row r="189" spans="9:9" ht="15" customHeight="1" x14ac:dyDescent="0.25">
      <c r="I189" s="31"/>
    </row>
    <row r="190" spans="9:9" ht="15" customHeight="1" x14ac:dyDescent="0.25">
      <c r="I190" s="31"/>
    </row>
    <row r="191" spans="9:9" ht="15" customHeight="1" x14ac:dyDescent="0.25">
      <c r="I191" s="31"/>
    </row>
    <row r="192" spans="9:9" ht="15" customHeight="1" x14ac:dyDescent="0.25">
      <c r="I192" s="31"/>
    </row>
    <row r="193" spans="9:9" ht="15" customHeight="1" x14ac:dyDescent="0.25">
      <c r="I193" s="31"/>
    </row>
    <row r="194" spans="9:9" ht="15" customHeight="1" x14ac:dyDescent="0.25">
      <c r="I194" s="31"/>
    </row>
    <row r="195" spans="9:9" ht="15" customHeight="1" x14ac:dyDescent="0.25">
      <c r="I195" s="31"/>
    </row>
    <row r="196" spans="9:9" ht="15" customHeight="1" x14ac:dyDescent="0.25">
      <c r="I196" s="31"/>
    </row>
    <row r="197" spans="9:9" ht="15" customHeight="1" x14ac:dyDescent="0.25">
      <c r="I197" s="31"/>
    </row>
    <row r="198" spans="9:9" ht="15" customHeight="1" x14ac:dyDescent="0.25">
      <c r="I198" s="31"/>
    </row>
    <row r="199" spans="9:9" ht="15" customHeight="1" x14ac:dyDescent="0.25">
      <c r="I199" s="31"/>
    </row>
    <row r="200" spans="9:9" ht="15" customHeight="1" x14ac:dyDescent="0.25">
      <c r="I200" s="31"/>
    </row>
    <row r="201" spans="9:9" ht="15" customHeight="1" x14ac:dyDescent="0.25">
      <c r="I201" s="31"/>
    </row>
    <row r="202" spans="9:9" ht="15" customHeight="1" x14ac:dyDescent="0.25">
      <c r="I202" s="31"/>
    </row>
    <row r="203" spans="9:9" ht="15" customHeight="1" x14ac:dyDescent="0.25">
      <c r="I203" s="31"/>
    </row>
    <row r="204" spans="9:9" ht="15" customHeight="1" x14ac:dyDescent="0.25">
      <c r="I204" s="31"/>
    </row>
    <row r="205" spans="9:9" ht="15" customHeight="1" x14ac:dyDescent="0.25">
      <c r="I205" s="31"/>
    </row>
    <row r="206" spans="9:9" ht="15" customHeight="1" x14ac:dyDescent="0.25">
      <c r="I206" s="31"/>
    </row>
    <row r="207" spans="9:9" ht="15" customHeight="1" x14ac:dyDescent="0.25">
      <c r="I207" s="31"/>
    </row>
    <row r="208" spans="9:9" ht="15" customHeight="1" x14ac:dyDescent="0.25">
      <c r="I208" s="31"/>
    </row>
    <row r="209" spans="9:9" ht="15" customHeight="1" x14ac:dyDescent="0.25">
      <c r="I209" s="31"/>
    </row>
    <row r="210" spans="9:9" ht="15" customHeight="1" x14ac:dyDescent="0.25">
      <c r="I210" s="31"/>
    </row>
    <row r="211" spans="9:9" ht="15" customHeight="1" x14ac:dyDescent="0.25">
      <c r="I211" s="31"/>
    </row>
    <row r="212" spans="9:9" ht="15" customHeight="1" x14ac:dyDescent="0.25">
      <c r="I212" s="31"/>
    </row>
    <row r="213" spans="9:9" ht="15" customHeight="1" x14ac:dyDescent="0.25">
      <c r="I213" s="31"/>
    </row>
    <row r="214" spans="9:9" ht="15" customHeight="1" x14ac:dyDescent="0.25">
      <c r="I214" s="31"/>
    </row>
    <row r="215" spans="9:9" ht="15" customHeight="1" x14ac:dyDescent="0.25">
      <c r="I215" s="31"/>
    </row>
    <row r="216" spans="9:9" ht="15" customHeight="1" x14ac:dyDescent="0.25">
      <c r="I216" s="31"/>
    </row>
    <row r="217" spans="9:9" ht="15" customHeight="1" x14ac:dyDescent="0.25">
      <c r="I217" s="31"/>
    </row>
    <row r="218" spans="9:9" ht="15" customHeight="1" x14ac:dyDescent="0.25">
      <c r="I218" s="31"/>
    </row>
    <row r="219" spans="9:9" ht="15" customHeight="1" x14ac:dyDescent="0.25">
      <c r="I219" s="31"/>
    </row>
    <row r="220" spans="9:9" ht="15" customHeight="1" x14ac:dyDescent="0.25">
      <c r="I220" s="31"/>
    </row>
    <row r="221" spans="9:9" ht="15" customHeight="1" x14ac:dyDescent="0.25">
      <c r="I221" s="31"/>
    </row>
    <row r="222" spans="9:9" ht="15" customHeight="1" x14ac:dyDescent="0.25">
      <c r="I222" s="31"/>
    </row>
    <row r="223" spans="9:9" ht="15" customHeight="1" x14ac:dyDescent="0.25">
      <c r="I223" s="31"/>
    </row>
    <row r="224" spans="9:9" ht="15" customHeight="1" x14ac:dyDescent="0.25">
      <c r="I224" s="31"/>
    </row>
    <row r="225" spans="9:9" ht="15" customHeight="1" x14ac:dyDescent="0.25">
      <c r="I225" s="31"/>
    </row>
    <row r="226" spans="9:9" ht="15" customHeight="1" x14ac:dyDescent="0.25">
      <c r="I226" s="31"/>
    </row>
    <row r="227" spans="9:9" ht="15" customHeight="1" x14ac:dyDescent="0.25">
      <c r="I227" s="31"/>
    </row>
    <row r="228" spans="9:9" ht="15" customHeight="1" x14ac:dyDescent="0.25">
      <c r="I228" s="31"/>
    </row>
    <row r="229" spans="9:9" ht="15" customHeight="1" x14ac:dyDescent="0.25">
      <c r="I229" s="31"/>
    </row>
    <row r="230" spans="9:9" ht="15" customHeight="1" x14ac:dyDescent="0.25">
      <c r="I230" s="31"/>
    </row>
  </sheetData>
  <autoFilter ref="F1:Z125"/>
  <mergeCells count="1">
    <mergeCell ref="A7:A8"/>
  </mergeCells>
  <conditionalFormatting sqref="J1:K1 J43:K1048576">
    <cfRule type="cellIs" dxfId="56" priority="161" operator="equal">
      <formula>$B$1&amp;" "&amp;#REF!</formula>
    </cfRule>
  </conditionalFormatting>
  <conditionalFormatting sqref="X1 X126:X1048576">
    <cfRule type="cellIs" dxfId="55" priority="157" operator="equal">
      <formula>1</formula>
    </cfRule>
  </conditionalFormatting>
  <conditionalFormatting sqref="L43:L1048576 O43:O1048576">
    <cfRule type="cellIs" dxfId="54" priority="189" operator="notEqual">
      <formula>OR($J43,0)</formula>
    </cfRule>
  </conditionalFormatting>
  <conditionalFormatting sqref="M43:M1048576 P43:P1048576">
    <cfRule type="cellIs" dxfId="53" priority="170" operator="notEqual">
      <formula>OR($K43,0)</formula>
    </cfRule>
  </conditionalFormatting>
  <conditionalFormatting sqref="Y1 Y126:Y1048576">
    <cfRule type="cellIs" dxfId="52" priority="138" operator="equal">
      <formula>1</formula>
    </cfRule>
  </conditionalFormatting>
  <conditionalFormatting sqref="Z1 Z126:Z1048576">
    <cfRule type="cellIs" dxfId="51" priority="137" operator="equal">
      <formula>1</formula>
    </cfRule>
  </conditionalFormatting>
  <conditionalFormatting sqref="U1 U126:U1048576">
    <cfRule type="cellIs" dxfId="50" priority="136" operator="equal">
      <formula>1</formula>
    </cfRule>
  </conditionalFormatting>
  <conditionalFormatting sqref="AA1">
    <cfRule type="cellIs" dxfId="49" priority="68" operator="equal">
      <formula>1</formula>
    </cfRule>
  </conditionalFormatting>
  <conditionalFormatting sqref="P43:P125 M43:M125">
    <cfRule type="cellIs" dxfId="48" priority="56" operator="notEqual">
      <formula>OR($K43,0)</formula>
    </cfRule>
  </conditionalFormatting>
  <conditionalFormatting sqref="R43:R1048576">
    <cfRule type="containsText" dxfId="47" priority="52" operator="containsText" text="C">
      <formula>NOT(ISERROR(SEARCH("C",R43)))</formula>
    </cfRule>
    <cfRule type="containsText" dxfId="46" priority="53" operator="containsText" text="B">
      <formula>NOT(ISERROR(SEARCH("B",R43)))</formula>
    </cfRule>
    <cfRule type="containsText" dxfId="45" priority="54" operator="containsText" text="A">
      <formula>NOT(ISERROR(SEARCH("A",R43)))</formula>
    </cfRule>
  </conditionalFormatting>
  <conditionalFormatting sqref="X43:X125">
    <cfRule type="cellIs" dxfId="44" priority="51" operator="equal">
      <formula>1</formula>
    </cfRule>
  </conditionalFormatting>
  <conditionalFormatting sqref="Y43:Y125">
    <cfRule type="cellIs" dxfId="43" priority="50" operator="equal">
      <formula>1</formula>
    </cfRule>
  </conditionalFormatting>
  <conditionalFormatting sqref="Z43:Z125">
    <cfRule type="cellIs" dxfId="42" priority="49" operator="equal">
      <formula>1</formula>
    </cfRule>
  </conditionalFormatting>
  <conditionalFormatting sqref="U43:U125">
    <cfRule type="cellIs" dxfId="41" priority="48" operator="equal">
      <formula>1</formula>
    </cfRule>
  </conditionalFormatting>
  <conditionalFormatting sqref="Y43:Y125">
    <cfRule type="cellIs" dxfId="40" priority="41" operator="equal">
      <formula>1</formula>
    </cfRule>
  </conditionalFormatting>
  <conditionalFormatting sqref="AA43:AA125">
    <cfRule type="cellIs" dxfId="39" priority="40" operator="equal">
      <formula>1</formula>
    </cfRule>
  </conditionalFormatting>
  <conditionalFormatting sqref="AA43:AA125">
    <cfRule type="cellIs" dxfId="38" priority="39" operator="equal">
      <formula>1</formula>
    </cfRule>
  </conditionalFormatting>
  <conditionalFormatting sqref="Q43:Q1048576">
    <cfRule type="cellIs" dxfId="37" priority="30" operator="between">
      <formula>$B$21</formula>
      <formula>"&lt;$B$20"</formula>
    </cfRule>
    <cfRule type="cellIs" dxfId="36" priority="31" operator="between">
      <formula>0.0001</formula>
      <formula>"&lt;$B$21"</formula>
    </cfRule>
  </conditionalFormatting>
  <conditionalFormatting sqref="Q43:Q1048576">
    <cfRule type="cellIs" dxfId="35" priority="29" operator="greaterThanOrEqual">
      <formula>$B$20</formula>
    </cfRule>
  </conditionalFormatting>
  <conditionalFormatting sqref="N43:N1048576">
    <cfRule type="cellIs" dxfId="34" priority="23" operator="greaterThanOrEqual">
      <formula>$B$20</formula>
    </cfRule>
    <cfRule type="cellIs" dxfId="33" priority="24" operator="between">
      <formula>$B$21</formula>
      <formula>"&lt;$B$20"</formula>
    </cfRule>
    <cfRule type="cellIs" dxfId="32" priority="25" operator="between">
      <formula>0.0001</formula>
      <formula>"&lt;$B$21"</formula>
    </cfRule>
  </conditionalFormatting>
  <conditionalFormatting sqref="J2:K42">
    <cfRule type="cellIs" dxfId="31" priority="17" operator="equal">
      <formula>$B$1&amp;" "&amp;#REF!</formula>
    </cfRule>
  </conditionalFormatting>
  <conditionalFormatting sqref="L2:L42 O2:O42">
    <cfRule type="cellIs" dxfId="30" priority="21" operator="notEqual">
      <formula>OR($J2,0)</formula>
    </cfRule>
  </conditionalFormatting>
  <conditionalFormatting sqref="M2:M42 P2:P42">
    <cfRule type="cellIs" dxfId="29" priority="19" operator="notEqual">
      <formula>OR($K2,0)</formula>
    </cfRule>
  </conditionalFormatting>
  <conditionalFormatting sqref="R2:R42">
    <cfRule type="containsText" dxfId="28" priority="14" operator="containsText" text="C">
      <formula>NOT(ISERROR(SEARCH("C",R2)))</formula>
    </cfRule>
    <cfRule type="containsText" dxfId="27" priority="15" operator="containsText" text="B">
      <formula>NOT(ISERROR(SEARCH("B",R2)))</formula>
    </cfRule>
    <cfRule type="containsText" dxfId="26" priority="16" operator="containsText" text="A">
      <formula>NOT(ISERROR(SEARCH("A",R2)))</formula>
    </cfRule>
  </conditionalFormatting>
  <conditionalFormatting sqref="X2:X42">
    <cfRule type="cellIs" dxfId="25" priority="13" operator="equal">
      <formula>1</formula>
    </cfRule>
  </conditionalFormatting>
  <conditionalFormatting sqref="Y2:Y42">
    <cfRule type="cellIs" dxfId="24" priority="12" operator="equal">
      <formula>1</formula>
    </cfRule>
  </conditionalFormatting>
  <conditionalFormatting sqref="Z2:Z42">
    <cfRule type="cellIs" dxfId="23" priority="11" operator="equal">
      <formula>1</formula>
    </cfRule>
  </conditionalFormatting>
  <conditionalFormatting sqref="U2:U42">
    <cfRule type="cellIs" dxfId="22" priority="10" operator="equal">
      <formula>1</formula>
    </cfRule>
  </conditionalFormatting>
  <conditionalFormatting sqref="Y2:Y42">
    <cfRule type="cellIs" dxfId="21" priority="9" operator="equal">
      <formula>1</formula>
    </cfRule>
  </conditionalFormatting>
  <conditionalFormatting sqref="AA2:AA42">
    <cfRule type="cellIs" dxfId="20" priority="8" operator="equal">
      <formula>1</formula>
    </cfRule>
  </conditionalFormatting>
  <conditionalFormatting sqref="AA2:AA42">
    <cfRule type="cellIs" dxfId="19" priority="7" operator="equal">
      <formula>1</formula>
    </cfRule>
  </conditionalFormatting>
  <conditionalFormatting sqref="Q2:Q42">
    <cfRule type="cellIs" dxfId="18" priority="5" operator="between">
      <formula>$B$21</formula>
      <formula>"&lt;$B$20"</formula>
    </cfRule>
    <cfRule type="cellIs" dxfId="17" priority="6" operator="between">
      <formula>0.0001</formula>
      <formula>"&lt;$B$21"</formula>
    </cfRule>
  </conditionalFormatting>
  <conditionalFormatting sqref="Q2:Q42">
    <cfRule type="cellIs" dxfId="16" priority="4" operator="greaterThanOrEqual">
      <formula>$B$20</formula>
    </cfRule>
  </conditionalFormatting>
  <conditionalFormatting sqref="N2:N42">
    <cfRule type="cellIs" dxfId="15" priority="1" operator="greaterThanOrEqual">
      <formula>$B$20</formula>
    </cfRule>
    <cfRule type="cellIs" dxfId="14" priority="2" operator="between">
      <formula>$B$21</formula>
      <formula>"&lt;$B$20"</formula>
    </cfRule>
    <cfRule type="cellIs" dxfId="13" priority="3" operator="between">
      <formula>0.0001</formula>
      <formula>"&lt;$B$21"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2" operator="containsText" id="{DF1FA79F-4AF6-40F6-B9A8-1C9C52914092}">
            <xm:f>NOT(ISERROR(SEARCH($J43,L43)))</xm:f>
            <xm:f>$J43</xm:f>
            <x14:dxf>
              <fill>
                <patternFill>
                  <bgColor rgb="FF92D050"/>
                </patternFill>
              </fill>
            </x14:dxf>
          </x14:cfRule>
          <xm:sqref>L43:L1048576 O43:O1048576</xm:sqref>
        </x14:conditionalFormatting>
        <x14:conditionalFormatting xmlns:xm="http://schemas.microsoft.com/office/excel/2006/main">
          <x14:cfRule type="containsText" priority="169" operator="containsText" id="{A67BE0AE-8489-4E00-88D8-8B7B1A6F63E2}">
            <xm:f>NOT(ISERROR(SEARCH($K43,M43)))</xm:f>
            <xm:f>$K43</xm:f>
            <x14:dxf>
              <fill>
                <patternFill>
                  <bgColor rgb="FF92D050"/>
                </patternFill>
              </fill>
            </x14:dxf>
          </x14:cfRule>
          <xm:sqref>M43:M1048576 P43:P1048576</xm:sqref>
        </x14:conditionalFormatting>
        <x14:conditionalFormatting xmlns:xm="http://schemas.microsoft.com/office/excel/2006/main">
          <x14:cfRule type="containsText" priority="55" operator="containsText" id="{FF0C139D-2127-4D9A-9CCE-E7523B412AE0}">
            <xm:f>NOT(ISERROR(SEARCH($K43,M43)))</xm:f>
            <xm:f>$K43</xm:f>
            <x14:dxf>
              <fill>
                <patternFill>
                  <bgColor rgb="FF92D050"/>
                </patternFill>
              </fill>
            </x14:dxf>
          </x14:cfRule>
          <xm:sqref>P43:P125 M43:M125</xm:sqref>
        </x14:conditionalFormatting>
        <x14:conditionalFormatting xmlns:xm="http://schemas.microsoft.com/office/excel/2006/main">
          <x14:cfRule type="containsText" priority="20" operator="containsText" id="{9E1E3789-9FF2-4A0C-8157-FE0879285D51}">
            <xm:f>NOT(ISERROR(SEARCH($J2,L2)))</xm:f>
            <xm:f>$J2</xm:f>
            <x14:dxf>
              <fill>
                <patternFill>
                  <bgColor rgb="FF92D050"/>
                </patternFill>
              </fill>
            </x14:dxf>
          </x14:cfRule>
          <xm:sqref>L2:L42 O2:O42</xm:sqref>
        </x14:conditionalFormatting>
        <x14:conditionalFormatting xmlns:xm="http://schemas.microsoft.com/office/excel/2006/main">
          <x14:cfRule type="containsText" priority="18" operator="containsText" id="{D141792C-B6C3-42E4-8968-AE7F70438D63}">
            <xm:f>NOT(ISERROR(SEARCH($K2,M2)))</xm:f>
            <xm:f>$K2</xm:f>
            <x14:dxf>
              <fill>
                <patternFill>
                  <bgColor rgb="FF92D050"/>
                </patternFill>
              </fill>
            </x14:dxf>
          </x14:cfRule>
          <xm:sqref>M2:M42 P2:P42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230"/>
  <sheetViews>
    <sheetView zoomScale="80" zoomScaleNormal="80" workbookViewId="0">
      <selection activeCell="K36" sqref="K36:L42"/>
    </sheetView>
  </sheetViews>
  <sheetFormatPr baseColWidth="10" defaultColWidth="11.25" defaultRowHeight="15" customHeight="1" x14ac:dyDescent="0.25"/>
  <cols>
    <col min="1" max="3" width="20.75" style="1" customWidth="1"/>
    <col min="4" max="4" width="1.75" style="1" customWidth="1"/>
    <col min="5" max="5" width="11.375" style="28" bestFit="1" customWidth="1"/>
    <col min="6" max="6" width="10" style="28" bestFit="1" customWidth="1"/>
    <col min="7" max="7" width="10.625" style="28" bestFit="1" customWidth="1"/>
    <col min="8" max="8" width="9.5" style="28" bestFit="1" customWidth="1"/>
    <col min="9" max="9" width="48.25" style="28" bestFit="1" customWidth="1"/>
    <col min="10" max="10" width="7.625" style="28" bestFit="1" customWidth="1"/>
    <col min="11" max="11" width="14.625" style="30" bestFit="1" customWidth="1"/>
    <col min="12" max="12" width="13.75" style="30" bestFit="1" customWidth="1"/>
    <col min="13" max="16384" width="11.25" style="1"/>
  </cols>
  <sheetData>
    <row r="1" spans="1:12" s="3" customFormat="1" ht="15" customHeight="1" x14ac:dyDescent="0.25">
      <c r="A1" s="4" t="s">
        <v>0</v>
      </c>
      <c r="B1" s="15" t="str">
        <f>'Parameter (Spezies)'!B1</f>
        <v>Vaccinium</v>
      </c>
      <c r="C1" s="16" t="str">
        <f>'Parameter (Spezies)'!C1</f>
        <v>myrtillus</v>
      </c>
      <c r="E1" s="178" t="s">
        <v>1</v>
      </c>
      <c r="F1" s="178" t="s">
        <v>2</v>
      </c>
      <c r="G1" s="178" t="s">
        <v>14</v>
      </c>
      <c r="H1" s="178" t="s">
        <v>13</v>
      </c>
      <c r="I1" s="178" t="s">
        <v>17</v>
      </c>
      <c r="J1" s="178" t="s">
        <v>3</v>
      </c>
      <c r="K1" s="6" t="s">
        <v>9</v>
      </c>
      <c r="L1" s="6" t="s">
        <v>10</v>
      </c>
    </row>
    <row r="2" spans="1:12" ht="15" customHeight="1" x14ac:dyDescent="0.25">
      <c r="A2" s="3" t="s">
        <v>85</v>
      </c>
      <c r="E2" s="28" t="s">
        <v>185</v>
      </c>
      <c r="F2" s="28" t="s">
        <v>147</v>
      </c>
      <c r="G2" s="28" t="s">
        <v>106</v>
      </c>
      <c r="H2" s="31">
        <v>44916</v>
      </c>
      <c r="I2" s="28" t="s">
        <v>173</v>
      </c>
      <c r="J2" s="29">
        <v>0.48</v>
      </c>
      <c r="K2" s="30">
        <f>IF(OR(J2&lt;$B$12,J2="&lt; 0"),1,0)</f>
        <v>1</v>
      </c>
      <c r="L2" s="30">
        <f t="shared" ref="L2:L21" si="0">IF(K2=1,0,1)</f>
        <v>0</v>
      </c>
    </row>
    <row r="3" spans="1:12" ht="15" customHeight="1" x14ac:dyDescent="0.25">
      <c r="A3" s="5" t="s">
        <v>7</v>
      </c>
      <c r="B3" s="10">
        <f>SUM(K:L)</f>
        <v>41</v>
      </c>
      <c r="E3" s="28" t="s">
        <v>187</v>
      </c>
      <c r="F3" s="28" t="s">
        <v>133</v>
      </c>
      <c r="G3" s="28" t="s">
        <v>134</v>
      </c>
      <c r="H3" s="31">
        <v>44399</v>
      </c>
      <c r="I3" s="28" t="s">
        <v>172</v>
      </c>
      <c r="J3" s="29">
        <v>0.5</v>
      </c>
      <c r="K3" s="30">
        <f t="shared" ref="K3:K36" si="1">IF(OR(J3&lt;$B$12,J3="&lt; 0"),1,0)</f>
        <v>1</v>
      </c>
      <c r="L3" s="30">
        <f t="shared" si="0"/>
        <v>0</v>
      </c>
    </row>
    <row r="4" spans="1:12" ht="15" customHeight="1" x14ac:dyDescent="0.25">
      <c r="B4" s="11"/>
      <c r="E4" s="28" t="s">
        <v>137</v>
      </c>
      <c r="F4" s="28" t="s">
        <v>133</v>
      </c>
      <c r="G4" s="28" t="s">
        <v>134</v>
      </c>
      <c r="H4" s="31">
        <v>44399</v>
      </c>
      <c r="I4" s="28" t="s">
        <v>172</v>
      </c>
      <c r="J4" s="29">
        <v>0.39</v>
      </c>
      <c r="K4" s="30">
        <f t="shared" si="1"/>
        <v>1</v>
      </c>
      <c r="L4" s="30">
        <f t="shared" si="0"/>
        <v>0</v>
      </c>
    </row>
    <row r="5" spans="1:12" ht="15" customHeight="1" x14ac:dyDescent="0.25">
      <c r="A5" s="7" t="s">
        <v>11</v>
      </c>
      <c r="B5" s="12">
        <f>SUM(K:K)</f>
        <v>41</v>
      </c>
      <c r="E5" s="28" t="s">
        <v>188</v>
      </c>
      <c r="F5" s="28" t="s">
        <v>118</v>
      </c>
      <c r="G5" s="28" t="s">
        <v>106</v>
      </c>
      <c r="H5" s="31">
        <v>44880</v>
      </c>
      <c r="I5" s="28" t="s">
        <v>200</v>
      </c>
      <c r="J5" s="29">
        <v>0.78</v>
      </c>
      <c r="K5" s="30">
        <f t="shared" si="1"/>
        <v>1</v>
      </c>
      <c r="L5" s="30">
        <f t="shared" si="0"/>
        <v>0</v>
      </c>
    </row>
    <row r="6" spans="1:12" ht="15" customHeight="1" x14ac:dyDescent="0.25">
      <c r="B6" s="11"/>
      <c r="E6" s="28" t="s">
        <v>192</v>
      </c>
      <c r="F6" s="28" t="s">
        <v>118</v>
      </c>
      <c r="G6" s="28" t="s">
        <v>106</v>
      </c>
      <c r="H6" s="31">
        <v>44880</v>
      </c>
      <c r="I6" s="28" t="s">
        <v>201</v>
      </c>
      <c r="J6" s="29">
        <v>0.25</v>
      </c>
      <c r="K6" s="30">
        <f t="shared" si="1"/>
        <v>1</v>
      </c>
      <c r="L6" s="30">
        <f t="shared" si="0"/>
        <v>0</v>
      </c>
    </row>
    <row r="7" spans="1:12" ht="15" customHeight="1" x14ac:dyDescent="0.25">
      <c r="A7" s="8" t="s">
        <v>12</v>
      </c>
      <c r="B7" s="13">
        <f>SUM(L:L)</f>
        <v>0</v>
      </c>
      <c r="E7" s="28" t="s">
        <v>194</v>
      </c>
      <c r="F7" s="28" t="s">
        <v>118</v>
      </c>
      <c r="G7" s="28" t="s">
        <v>106</v>
      </c>
      <c r="H7" s="31">
        <v>44880</v>
      </c>
      <c r="I7" s="28" t="s">
        <v>202</v>
      </c>
      <c r="J7" s="29">
        <v>0.78</v>
      </c>
      <c r="K7" s="30">
        <f t="shared" si="1"/>
        <v>1</v>
      </c>
      <c r="L7" s="30">
        <f t="shared" si="0"/>
        <v>0</v>
      </c>
    </row>
    <row r="8" spans="1:12" ht="15" customHeight="1" x14ac:dyDescent="0.25">
      <c r="B8" s="11"/>
      <c r="E8" s="28" t="s">
        <v>179</v>
      </c>
      <c r="F8" s="28" t="s">
        <v>147</v>
      </c>
      <c r="G8" s="28" t="s">
        <v>106</v>
      </c>
      <c r="H8" s="31">
        <v>44916</v>
      </c>
      <c r="I8" s="28" t="s">
        <v>186</v>
      </c>
      <c r="J8" s="29">
        <v>0.28000000000000003</v>
      </c>
      <c r="K8" s="30">
        <f t="shared" si="1"/>
        <v>1</v>
      </c>
      <c r="L8" s="30">
        <f t="shared" si="0"/>
        <v>0</v>
      </c>
    </row>
    <row r="9" spans="1:12" ht="15" customHeight="1" x14ac:dyDescent="0.25">
      <c r="A9" s="4"/>
      <c r="B9" s="14">
        <f>B7/B3</f>
        <v>0</v>
      </c>
      <c r="E9" s="28" t="s">
        <v>181</v>
      </c>
      <c r="F9" s="28" t="s">
        <v>109</v>
      </c>
      <c r="G9" s="28" t="s">
        <v>106</v>
      </c>
      <c r="H9" s="31">
        <v>44916</v>
      </c>
      <c r="I9" s="28" t="s">
        <v>186</v>
      </c>
      <c r="J9" s="29">
        <v>0.38</v>
      </c>
      <c r="K9" s="30">
        <f t="shared" si="1"/>
        <v>1</v>
      </c>
      <c r="L9" s="30">
        <f t="shared" si="0"/>
        <v>0</v>
      </c>
    </row>
    <row r="10" spans="1:12" ht="15" customHeight="1" x14ac:dyDescent="0.25">
      <c r="E10" s="28" t="s">
        <v>138</v>
      </c>
      <c r="F10" s="28" t="s">
        <v>109</v>
      </c>
      <c r="G10" s="28" t="s">
        <v>106</v>
      </c>
      <c r="H10" s="31">
        <v>44963</v>
      </c>
      <c r="I10" s="28" t="s">
        <v>173</v>
      </c>
      <c r="J10" s="29">
        <v>0.24</v>
      </c>
      <c r="K10" s="30">
        <f t="shared" si="1"/>
        <v>1</v>
      </c>
      <c r="L10" s="30">
        <f t="shared" si="0"/>
        <v>0</v>
      </c>
    </row>
    <row r="11" spans="1:12" ht="15" customHeight="1" x14ac:dyDescent="0.25">
      <c r="E11" s="28" t="s">
        <v>182</v>
      </c>
      <c r="F11" s="28" t="s">
        <v>109</v>
      </c>
      <c r="G11" s="28" t="s">
        <v>106</v>
      </c>
      <c r="H11" s="31">
        <v>44963</v>
      </c>
      <c r="I11" s="28" t="s">
        <v>173</v>
      </c>
      <c r="J11" s="29">
        <v>0.32</v>
      </c>
      <c r="K11" s="30">
        <f t="shared" si="1"/>
        <v>1</v>
      </c>
      <c r="L11" s="30">
        <f t="shared" si="0"/>
        <v>0</v>
      </c>
    </row>
    <row r="12" spans="1:12" ht="15" customHeight="1" x14ac:dyDescent="0.25">
      <c r="A12" s="146" t="s">
        <v>86</v>
      </c>
      <c r="B12" s="147">
        <f>Settings!F10</f>
        <v>2</v>
      </c>
      <c r="C12" s="1" t="s">
        <v>87</v>
      </c>
      <c r="E12" s="28" t="s">
        <v>141</v>
      </c>
      <c r="F12" s="28" t="s">
        <v>109</v>
      </c>
      <c r="G12" s="28" t="s">
        <v>106</v>
      </c>
      <c r="H12" s="31">
        <v>44963</v>
      </c>
      <c r="I12" s="28" t="s">
        <v>173</v>
      </c>
      <c r="J12" s="29">
        <v>0.12</v>
      </c>
      <c r="K12" s="30">
        <f t="shared" si="1"/>
        <v>1</v>
      </c>
      <c r="L12" s="30">
        <f t="shared" si="0"/>
        <v>0</v>
      </c>
    </row>
    <row r="13" spans="1:12" ht="15" customHeight="1" x14ac:dyDescent="0.25">
      <c r="A13" s="148"/>
      <c r="B13" s="149">
        <f>Settings!D10</f>
        <v>1.7</v>
      </c>
      <c r="C13" s="1" t="s">
        <v>88</v>
      </c>
      <c r="E13" s="28" t="s">
        <v>142</v>
      </c>
      <c r="F13" s="28" t="s">
        <v>109</v>
      </c>
      <c r="G13" s="28" t="s">
        <v>106</v>
      </c>
      <c r="H13" s="31">
        <v>44963</v>
      </c>
      <c r="I13" s="28" t="s">
        <v>173</v>
      </c>
      <c r="J13" s="29">
        <v>0.09</v>
      </c>
      <c r="K13" s="30">
        <f t="shared" si="1"/>
        <v>1</v>
      </c>
      <c r="L13" s="30">
        <f t="shared" si="0"/>
        <v>0</v>
      </c>
    </row>
    <row r="14" spans="1:12" ht="15" customHeight="1" x14ac:dyDescent="0.25">
      <c r="A14" s="1" t="s">
        <v>100</v>
      </c>
      <c r="E14" s="28" t="s">
        <v>183</v>
      </c>
      <c r="F14" s="28" t="s">
        <v>109</v>
      </c>
      <c r="G14" s="28" t="s">
        <v>184</v>
      </c>
      <c r="H14" s="31">
        <v>44965</v>
      </c>
      <c r="I14" s="28" t="s">
        <v>173</v>
      </c>
      <c r="J14" s="29">
        <v>0.05</v>
      </c>
      <c r="K14" s="30">
        <f t="shared" si="1"/>
        <v>1</v>
      </c>
      <c r="L14" s="30">
        <f t="shared" si="0"/>
        <v>0</v>
      </c>
    </row>
    <row r="15" spans="1:12" ht="15" customHeight="1" x14ac:dyDescent="0.25">
      <c r="E15" s="28" t="s">
        <v>143</v>
      </c>
      <c r="F15" s="28" t="s">
        <v>109</v>
      </c>
      <c r="G15" s="28" t="s">
        <v>106</v>
      </c>
      <c r="H15" s="31">
        <v>44963</v>
      </c>
      <c r="I15" s="28" t="s">
        <v>173</v>
      </c>
      <c r="J15" s="29">
        <v>0.59</v>
      </c>
      <c r="K15" s="30">
        <f t="shared" si="1"/>
        <v>1</v>
      </c>
      <c r="L15" s="30">
        <f t="shared" si="0"/>
        <v>0</v>
      </c>
    </row>
    <row r="16" spans="1:12" ht="15" customHeight="1" x14ac:dyDescent="0.25">
      <c r="E16" s="28" t="s">
        <v>144</v>
      </c>
      <c r="F16" s="28" t="s">
        <v>109</v>
      </c>
      <c r="G16" s="28" t="s">
        <v>106</v>
      </c>
      <c r="H16" s="31">
        <v>44963</v>
      </c>
      <c r="I16" s="28" t="s">
        <v>173</v>
      </c>
      <c r="J16" s="29">
        <v>0.21</v>
      </c>
      <c r="K16" s="30">
        <f t="shared" si="1"/>
        <v>1</v>
      </c>
      <c r="L16" s="30">
        <f t="shared" si="0"/>
        <v>0</v>
      </c>
    </row>
    <row r="17" spans="5:12" ht="15" customHeight="1" x14ac:dyDescent="0.25">
      <c r="E17" s="28" t="s">
        <v>145</v>
      </c>
      <c r="F17" s="28" t="s">
        <v>109</v>
      </c>
      <c r="G17" s="28" t="s">
        <v>106</v>
      </c>
      <c r="H17" s="31">
        <v>44963</v>
      </c>
      <c r="I17" s="28" t="s">
        <v>173</v>
      </c>
      <c r="J17" s="29">
        <v>0.2</v>
      </c>
      <c r="K17" s="30">
        <f t="shared" si="1"/>
        <v>1</v>
      </c>
      <c r="L17" s="30">
        <f t="shared" si="0"/>
        <v>0</v>
      </c>
    </row>
    <row r="18" spans="5:12" ht="15" customHeight="1" x14ac:dyDescent="0.25">
      <c r="E18" s="28" t="s">
        <v>146</v>
      </c>
      <c r="F18" s="28" t="s">
        <v>109</v>
      </c>
      <c r="G18" s="28" t="s">
        <v>106</v>
      </c>
      <c r="H18" s="31">
        <v>44963</v>
      </c>
      <c r="I18" s="28" t="s">
        <v>173</v>
      </c>
      <c r="J18" s="29">
        <v>0.55000000000000004</v>
      </c>
      <c r="K18" s="30">
        <f t="shared" si="1"/>
        <v>1</v>
      </c>
      <c r="L18" s="30">
        <f t="shared" si="0"/>
        <v>0</v>
      </c>
    </row>
    <row r="19" spans="5:12" ht="15" customHeight="1" x14ac:dyDescent="0.25">
      <c r="E19" s="28" t="s">
        <v>195</v>
      </c>
      <c r="F19" s="28" t="s">
        <v>147</v>
      </c>
      <c r="G19" s="28" t="s">
        <v>106</v>
      </c>
      <c r="H19" s="31">
        <v>44914</v>
      </c>
      <c r="I19" s="28" t="s">
        <v>203</v>
      </c>
      <c r="J19" s="29">
        <v>1.1299999999999999</v>
      </c>
      <c r="K19" s="30">
        <f t="shared" si="1"/>
        <v>1</v>
      </c>
      <c r="L19" s="30">
        <f t="shared" si="0"/>
        <v>0</v>
      </c>
    </row>
    <row r="20" spans="5:12" ht="15" customHeight="1" x14ac:dyDescent="0.25">
      <c r="E20" s="28" t="s">
        <v>197</v>
      </c>
      <c r="F20" s="28" t="s">
        <v>147</v>
      </c>
      <c r="G20" s="28" t="s">
        <v>106</v>
      </c>
      <c r="H20" s="31">
        <v>44914</v>
      </c>
      <c r="I20" s="28" t="s">
        <v>203</v>
      </c>
      <c r="J20" s="29">
        <v>0.88</v>
      </c>
      <c r="K20" s="30">
        <f t="shared" si="1"/>
        <v>1</v>
      </c>
      <c r="L20" s="30">
        <f t="shared" si="0"/>
        <v>0</v>
      </c>
    </row>
    <row r="21" spans="5:12" ht="15" customHeight="1" x14ac:dyDescent="0.25">
      <c r="E21" s="28" t="s">
        <v>148</v>
      </c>
      <c r="F21" s="28" t="s">
        <v>109</v>
      </c>
      <c r="G21" s="28" t="s">
        <v>106</v>
      </c>
      <c r="H21" s="31">
        <v>44887</v>
      </c>
      <c r="I21" s="28" t="s">
        <v>174</v>
      </c>
      <c r="J21" s="29">
        <v>1.1000000000000001</v>
      </c>
      <c r="K21" s="30">
        <f t="shared" si="1"/>
        <v>1</v>
      </c>
      <c r="L21" s="30">
        <f t="shared" si="0"/>
        <v>0</v>
      </c>
    </row>
    <row r="22" spans="5:12" ht="15" customHeight="1" x14ac:dyDescent="0.25">
      <c r="E22" s="28" t="s">
        <v>150</v>
      </c>
      <c r="F22" s="28" t="s">
        <v>109</v>
      </c>
      <c r="G22" s="28" t="s">
        <v>106</v>
      </c>
      <c r="H22" s="31">
        <v>44907</v>
      </c>
      <c r="I22" s="28" t="s">
        <v>174</v>
      </c>
      <c r="J22" s="29">
        <v>1.06</v>
      </c>
      <c r="K22" s="30">
        <f t="shared" si="1"/>
        <v>1</v>
      </c>
      <c r="L22" s="30">
        <f t="shared" ref="L22:L36" si="2">IF(K22=1,0,1)</f>
        <v>0</v>
      </c>
    </row>
    <row r="23" spans="5:12" ht="15" customHeight="1" x14ac:dyDescent="0.25">
      <c r="E23" s="28" t="s">
        <v>151</v>
      </c>
      <c r="F23" s="28" t="s">
        <v>109</v>
      </c>
      <c r="G23" s="28" t="s">
        <v>106</v>
      </c>
      <c r="H23" s="31">
        <v>44886</v>
      </c>
      <c r="I23" s="28" t="s">
        <v>174</v>
      </c>
      <c r="J23" s="29">
        <v>1.1599999999999999</v>
      </c>
      <c r="K23" s="30">
        <f t="shared" si="1"/>
        <v>1</v>
      </c>
      <c r="L23" s="30">
        <f t="shared" si="2"/>
        <v>0</v>
      </c>
    </row>
    <row r="24" spans="5:12" ht="15" customHeight="1" x14ac:dyDescent="0.25">
      <c r="E24" s="28" t="s">
        <v>152</v>
      </c>
      <c r="F24" s="28" t="s">
        <v>109</v>
      </c>
      <c r="G24" s="28" t="s">
        <v>153</v>
      </c>
      <c r="H24" s="31">
        <v>44894</v>
      </c>
      <c r="I24" s="28" t="s">
        <v>174</v>
      </c>
      <c r="J24" s="29">
        <v>1.4</v>
      </c>
      <c r="K24" s="30">
        <f t="shared" si="1"/>
        <v>1</v>
      </c>
      <c r="L24" s="30">
        <f t="shared" si="2"/>
        <v>0</v>
      </c>
    </row>
    <row r="25" spans="5:12" ht="15" customHeight="1" x14ac:dyDescent="0.25">
      <c r="E25" s="28" t="s">
        <v>154</v>
      </c>
      <c r="F25" s="28" t="s">
        <v>109</v>
      </c>
      <c r="G25" s="28" t="s">
        <v>153</v>
      </c>
      <c r="H25" s="31">
        <v>44894</v>
      </c>
      <c r="I25" s="28" t="s">
        <v>174</v>
      </c>
      <c r="J25" s="29">
        <v>1.21</v>
      </c>
      <c r="K25" s="30">
        <f t="shared" si="1"/>
        <v>1</v>
      </c>
      <c r="L25" s="30">
        <f t="shared" si="2"/>
        <v>0</v>
      </c>
    </row>
    <row r="26" spans="5:12" ht="15" customHeight="1" x14ac:dyDescent="0.25">
      <c r="E26" s="28" t="s">
        <v>155</v>
      </c>
      <c r="F26" s="28" t="s">
        <v>109</v>
      </c>
      <c r="G26" s="28" t="s">
        <v>153</v>
      </c>
      <c r="H26" s="31">
        <v>44894</v>
      </c>
      <c r="I26" s="28" t="s">
        <v>174</v>
      </c>
      <c r="J26" s="29">
        <v>1.27</v>
      </c>
      <c r="K26" s="30">
        <f t="shared" si="1"/>
        <v>1</v>
      </c>
      <c r="L26" s="30">
        <f t="shared" si="2"/>
        <v>0</v>
      </c>
    </row>
    <row r="27" spans="5:12" ht="15" customHeight="1" x14ac:dyDescent="0.25">
      <c r="E27" s="28" t="s">
        <v>156</v>
      </c>
      <c r="F27" s="28" t="s">
        <v>109</v>
      </c>
      <c r="G27" s="28" t="s">
        <v>153</v>
      </c>
      <c r="H27" s="31">
        <v>44894</v>
      </c>
      <c r="I27" s="28" t="s">
        <v>174</v>
      </c>
      <c r="J27" s="29">
        <v>1.17</v>
      </c>
      <c r="K27" s="30">
        <f t="shared" si="1"/>
        <v>1</v>
      </c>
      <c r="L27" s="30">
        <f t="shared" si="2"/>
        <v>0</v>
      </c>
    </row>
    <row r="28" spans="5:12" ht="15" customHeight="1" x14ac:dyDescent="0.25">
      <c r="E28" s="28" t="s">
        <v>157</v>
      </c>
      <c r="F28" s="28" t="s">
        <v>109</v>
      </c>
      <c r="G28" s="28" t="s">
        <v>153</v>
      </c>
      <c r="H28" s="31">
        <v>44894</v>
      </c>
      <c r="I28" s="28" t="s">
        <v>174</v>
      </c>
      <c r="J28" s="29">
        <v>1.32</v>
      </c>
      <c r="K28" s="30">
        <f t="shared" si="1"/>
        <v>1</v>
      </c>
      <c r="L28" s="30">
        <f t="shared" si="2"/>
        <v>0</v>
      </c>
    </row>
    <row r="29" spans="5:12" ht="15" customHeight="1" x14ac:dyDescent="0.25">
      <c r="E29" s="28" t="s">
        <v>158</v>
      </c>
      <c r="F29" s="28" t="s">
        <v>109</v>
      </c>
      <c r="G29" s="28" t="s">
        <v>106</v>
      </c>
      <c r="H29" s="31">
        <v>44895</v>
      </c>
      <c r="I29" s="28" t="s">
        <v>174</v>
      </c>
      <c r="J29" s="29">
        <v>1.1200000000000001</v>
      </c>
      <c r="K29" s="30">
        <f t="shared" si="1"/>
        <v>1</v>
      </c>
      <c r="L29" s="30">
        <f t="shared" si="2"/>
        <v>0</v>
      </c>
    </row>
    <row r="30" spans="5:12" ht="15" customHeight="1" x14ac:dyDescent="0.25">
      <c r="E30" s="28" t="s">
        <v>159</v>
      </c>
      <c r="F30" s="28" t="s">
        <v>109</v>
      </c>
      <c r="G30" s="28" t="s">
        <v>106</v>
      </c>
      <c r="H30" s="31">
        <v>44895</v>
      </c>
      <c r="I30" s="28" t="s">
        <v>174</v>
      </c>
      <c r="J30" s="29">
        <v>1.21</v>
      </c>
      <c r="K30" s="30">
        <f t="shared" si="1"/>
        <v>1</v>
      </c>
      <c r="L30" s="30">
        <f t="shared" si="2"/>
        <v>0</v>
      </c>
    </row>
    <row r="31" spans="5:12" ht="15" customHeight="1" x14ac:dyDescent="0.25">
      <c r="E31" s="28" t="s">
        <v>160</v>
      </c>
      <c r="F31" s="28" t="s">
        <v>109</v>
      </c>
      <c r="G31" s="28" t="s">
        <v>106</v>
      </c>
      <c r="H31" s="31">
        <v>44895</v>
      </c>
      <c r="I31" s="28" t="s">
        <v>174</v>
      </c>
      <c r="J31" s="29">
        <v>1.02</v>
      </c>
      <c r="K31" s="30">
        <f t="shared" si="1"/>
        <v>1</v>
      </c>
      <c r="L31" s="30">
        <f t="shared" si="2"/>
        <v>0</v>
      </c>
    </row>
    <row r="32" spans="5:12" ht="15" customHeight="1" x14ac:dyDescent="0.25">
      <c r="E32" s="28" t="s">
        <v>161</v>
      </c>
      <c r="F32" s="28" t="s">
        <v>109</v>
      </c>
      <c r="G32" s="28" t="s">
        <v>106</v>
      </c>
      <c r="H32" s="31">
        <v>44895</v>
      </c>
      <c r="I32" s="28" t="s">
        <v>174</v>
      </c>
      <c r="J32" s="29">
        <v>1.23</v>
      </c>
      <c r="K32" s="30">
        <f t="shared" si="1"/>
        <v>1</v>
      </c>
      <c r="L32" s="30">
        <f t="shared" si="2"/>
        <v>0</v>
      </c>
    </row>
    <row r="33" spans="5:12" ht="15" customHeight="1" x14ac:dyDescent="0.25">
      <c r="E33" s="28" t="s">
        <v>162</v>
      </c>
      <c r="F33" s="28" t="s">
        <v>109</v>
      </c>
      <c r="G33" s="28" t="s">
        <v>106</v>
      </c>
      <c r="H33" s="31">
        <v>44897</v>
      </c>
      <c r="I33" s="28" t="s">
        <v>174</v>
      </c>
      <c r="J33" s="29">
        <v>1.36</v>
      </c>
      <c r="K33" s="30">
        <f t="shared" si="1"/>
        <v>1</v>
      </c>
      <c r="L33" s="30">
        <f t="shared" si="2"/>
        <v>0</v>
      </c>
    </row>
    <row r="34" spans="5:12" ht="15" customHeight="1" x14ac:dyDescent="0.25">
      <c r="E34" s="28" t="s">
        <v>163</v>
      </c>
      <c r="F34" s="28" t="s">
        <v>109</v>
      </c>
      <c r="G34" s="28" t="s">
        <v>106</v>
      </c>
      <c r="H34" s="31">
        <v>44897</v>
      </c>
      <c r="I34" s="28" t="s">
        <v>174</v>
      </c>
      <c r="J34" s="29">
        <v>1.1100000000000001</v>
      </c>
      <c r="K34" s="30">
        <f t="shared" si="1"/>
        <v>1</v>
      </c>
      <c r="L34" s="30">
        <f t="shared" si="2"/>
        <v>0</v>
      </c>
    </row>
    <row r="35" spans="5:12" ht="15" customHeight="1" x14ac:dyDescent="0.25">
      <c r="E35" s="28" t="s">
        <v>164</v>
      </c>
      <c r="F35" s="28" t="s">
        <v>109</v>
      </c>
      <c r="G35" s="28" t="s">
        <v>111</v>
      </c>
      <c r="H35" s="31">
        <v>44897</v>
      </c>
      <c r="I35" s="28" t="s">
        <v>174</v>
      </c>
      <c r="J35" s="29">
        <v>1.1499999999999999</v>
      </c>
      <c r="K35" s="30">
        <f t="shared" si="1"/>
        <v>1</v>
      </c>
      <c r="L35" s="30">
        <f t="shared" si="2"/>
        <v>0</v>
      </c>
    </row>
    <row r="36" spans="5:12" ht="15" customHeight="1" x14ac:dyDescent="0.25">
      <c r="E36" s="28" t="s">
        <v>165</v>
      </c>
      <c r="F36" s="28" t="s">
        <v>109</v>
      </c>
      <c r="G36" s="28" t="s">
        <v>106</v>
      </c>
      <c r="H36" s="31">
        <v>44897</v>
      </c>
      <c r="I36" s="28" t="s">
        <v>174</v>
      </c>
      <c r="J36" s="29">
        <v>1.26</v>
      </c>
      <c r="K36" s="30">
        <f t="shared" si="1"/>
        <v>1</v>
      </c>
      <c r="L36" s="30">
        <f t="shared" si="2"/>
        <v>0</v>
      </c>
    </row>
    <row r="37" spans="5:12" ht="15" customHeight="1" x14ac:dyDescent="0.25">
      <c r="E37" s="28" t="s">
        <v>166</v>
      </c>
      <c r="F37" s="28" t="s">
        <v>109</v>
      </c>
      <c r="G37" s="28" t="s">
        <v>106</v>
      </c>
      <c r="H37" s="31">
        <v>44911</v>
      </c>
      <c r="I37" s="28" t="s">
        <v>174</v>
      </c>
      <c r="J37" s="29">
        <v>1.22</v>
      </c>
      <c r="K37" s="30">
        <f t="shared" ref="K37:K42" si="3">IF(OR(J37&lt;$B$12,J37="&lt; 0"),1,0)</f>
        <v>1</v>
      </c>
      <c r="L37" s="30">
        <f t="shared" ref="L37:L42" si="4">IF(K37=1,0,1)</f>
        <v>0</v>
      </c>
    </row>
    <row r="38" spans="5:12" ht="15" customHeight="1" x14ac:dyDescent="0.25">
      <c r="E38" s="28" t="s">
        <v>167</v>
      </c>
      <c r="F38" s="28" t="s">
        <v>147</v>
      </c>
      <c r="G38" s="28" t="s">
        <v>106</v>
      </c>
      <c r="H38" s="31">
        <v>44945</v>
      </c>
      <c r="I38" s="28" t="s">
        <v>174</v>
      </c>
      <c r="J38" s="29">
        <v>1.1299999999999999</v>
      </c>
      <c r="K38" s="30">
        <f t="shared" si="3"/>
        <v>1</v>
      </c>
      <c r="L38" s="30">
        <f t="shared" si="4"/>
        <v>0</v>
      </c>
    </row>
    <row r="39" spans="5:12" ht="15" customHeight="1" x14ac:dyDescent="0.25">
      <c r="E39" s="28" t="s">
        <v>198</v>
      </c>
      <c r="F39" s="28" t="s">
        <v>118</v>
      </c>
      <c r="G39" s="28" t="s">
        <v>106</v>
      </c>
      <c r="H39" s="31">
        <v>44956</v>
      </c>
      <c r="I39" s="28" t="s">
        <v>204</v>
      </c>
      <c r="J39" s="29">
        <v>1.29</v>
      </c>
      <c r="K39" s="30">
        <f t="shared" si="3"/>
        <v>1</v>
      </c>
      <c r="L39" s="30">
        <f t="shared" si="4"/>
        <v>0</v>
      </c>
    </row>
    <row r="40" spans="5:12" ht="15" customHeight="1" x14ac:dyDescent="0.25">
      <c r="E40" s="28" t="s">
        <v>168</v>
      </c>
      <c r="F40" s="28" t="s">
        <v>118</v>
      </c>
      <c r="G40" s="28" t="s">
        <v>106</v>
      </c>
      <c r="H40" s="31">
        <v>44956</v>
      </c>
      <c r="I40" s="28" t="s">
        <v>175</v>
      </c>
      <c r="J40" s="29">
        <v>1.32</v>
      </c>
      <c r="K40" s="30">
        <f t="shared" si="3"/>
        <v>1</v>
      </c>
      <c r="L40" s="30">
        <f t="shared" si="4"/>
        <v>0</v>
      </c>
    </row>
    <row r="41" spans="5:12" ht="15" customHeight="1" x14ac:dyDescent="0.25">
      <c r="E41" s="28" t="s">
        <v>170</v>
      </c>
      <c r="F41" s="28" t="s">
        <v>118</v>
      </c>
      <c r="G41" s="28" t="s">
        <v>106</v>
      </c>
      <c r="H41" s="31">
        <v>44956</v>
      </c>
      <c r="I41" s="28" t="s">
        <v>175</v>
      </c>
      <c r="J41" s="29">
        <v>1.56</v>
      </c>
      <c r="K41" s="30">
        <f t="shared" si="3"/>
        <v>1</v>
      </c>
      <c r="L41" s="30">
        <f t="shared" si="4"/>
        <v>0</v>
      </c>
    </row>
    <row r="42" spans="5:12" ht="15" customHeight="1" x14ac:dyDescent="0.25">
      <c r="E42" s="28" t="s">
        <v>171</v>
      </c>
      <c r="F42" s="28" t="s">
        <v>118</v>
      </c>
      <c r="G42" s="28" t="s">
        <v>106</v>
      </c>
      <c r="H42" s="31">
        <v>44956</v>
      </c>
      <c r="I42" s="28" t="s">
        <v>175</v>
      </c>
      <c r="J42" s="29">
        <v>1.3</v>
      </c>
      <c r="K42" s="30">
        <f t="shared" si="3"/>
        <v>1</v>
      </c>
      <c r="L42" s="30">
        <f t="shared" si="4"/>
        <v>0</v>
      </c>
    </row>
    <row r="43" spans="5:12" ht="15" customHeight="1" x14ac:dyDescent="0.25">
      <c r="H43" s="31"/>
      <c r="J43" s="29"/>
    </row>
    <row r="44" spans="5:12" ht="15" customHeight="1" x14ac:dyDescent="0.25">
      <c r="H44" s="31"/>
      <c r="J44" s="29"/>
    </row>
    <row r="45" spans="5:12" ht="15" customHeight="1" x14ac:dyDescent="0.25">
      <c r="H45" s="31"/>
      <c r="J45" s="29"/>
    </row>
    <row r="46" spans="5:12" ht="15" customHeight="1" x14ac:dyDescent="0.25">
      <c r="H46" s="31"/>
      <c r="J46" s="29"/>
    </row>
    <row r="47" spans="5:12" ht="15" customHeight="1" x14ac:dyDescent="0.25">
      <c r="H47" s="31"/>
      <c r="J47" s="29"/>
    </row>
    <row r="48" spans="5:12" ht="15" customHeight="1" x14ac:dyDescent="0.25">
      <c r="H48" s="31"/>
      <c r="J48" s="29"/>
    </row>
    <row r="49" spans="8:10" ht="15" customHeight="1" x14ac:dyDescent="0.25">
      <c r="H49" s="31"/>
      <c r="J49" s="29"/>
    </row>
    <row r="50" spans="8:10" ht="15" customHeight="1" x14ac:dyDescent="0.25">
      <c r="H50" s="31"/>
      <c r="J50" s="29"/>
    </row>
    <row r="51" spans="8:10" ht="15" customHeight="1" x14ac:dyDescent="0.25">
      <c r="H51" s="31"/>
      <c r="J51" s="29"/>
    </row>
    <row r="52" spans="8:10" ht="15" customHeight="1" x14ac:dyDescent="0.25">
      <c r="H52" s="31"/>
      <c r="J52" s="29"/>
    </row>
    <row r="53" spans="8:10" ht="15" customHeight="1" x14ac:dyDescent="0.25">
      <c r="H53" s="31"/>
      <c r="J53" s="29"/>
    </row>
    <row r="54" spans="8:10" ht="15" customHeight="1" x14ac:dyDescent="0.25">
      <c r="H54" s="31"/>
      <c r="J54" s="29"/>
    </row>
    <row r="55" spans="8:10" ht="15" customHeight="1" x14ac:dyDescent="0.25">
      <c r="H55" s="31"/>
      <c r="J55" s="29"/>
    </row>
    <row r="56" spans="8:10" ht="15" customHeight="1" x14ac:dyDescent="0.25">
      <c r="H56" s="31"/>
      <c r="J56" s="29"/>
    </row>
    <row r="57" spans="8:10" ht="15" customHeight="1" x14ac:dyDescent="0.25">
      <c r="H57" s="31"/>
      <c r="J57" s="29"/>
    </row>
    <row r="58" spans="8:10" ht="15" customHeight="1" x14ac:dyDescent="0.25">
      <c r="H58" s="31"/>
      <c r="J58" s="29"/>
    </row>
    <row r="59" spans="8:10" ht="15" customHeight="1" x14ac:dyDescent="0.25">
      <c r="H59" s="31"/>
      <c r="J59" s="29"/>
    </row>
    <row r="60" spans="8:10" ht="15" customHeight="1" x14ac:dyDescent="0.25">
      <c r="H60" s="31"/>
      <c r="J60" s="29"/>
    </row>
    <row r="61" spans="8:10" ht="15" customHeight="1" x14ac:dyDescent="0.25">
      <c r="H61" s="31"/>
      <c r="J61" s="29"/>
    </row>
    <row r="62" spans="8:10" ht="15" customHeight="1" x14ac:dyDescent="0.25">
      <c r="H62" s="31"/>
      <c r="J62" s="29"/>
    </row>
    <row r="63" spans="8:10" ht="15" customHeight="1" x14ac:dyDescent="0.25">
      <c r="H63" s="31"/>
      <c r="J63" s="29"/>
    </row>
    <row r="64" spans="8:10" ht="15" customHeight="1" x14ac:dyDescent="0.25">
      <c r="H64" s="31"/>
      <c r="J64" s="29"/>
    </row>
    <row r="65" spans="8:10" ht="15" customHeight="1" x14ac:dyDescent="0.25">
      <c r="H65" s="31"/>
      <c r="J65" s="29"/>
    </row>
    <row r="66" spans="8:10" ht="15" customHeight="1" x14ac:dyDescent="0.25">
      <c r="H66" s="31"/>
      <c r="J66" s="29"/>
    </row>
    <row r="67" spans="8:10" ht="15" customHeight="1" x14ac:dyDescent="0.25">
      <c r="H67" s="31"/>
      <c r="J67" s="29"/>
    </row>
    <row r="68" spans="8:10" ht="15" customHeight="1" x14ac:dyDescent="0.25">
      <c r="H68" s="31"/>
      <c r="J68" s="29"/>
    </row>
    <row r="69" spans="8:10" ht="15" customHeight="1" x14ac:dyDescent="0.25">
      <c r="H69" s="31"/>
      <c r="J69" s="29"/>
    </row>
    <row r="70" spans="8:10" ht="15" customHeight="1" x14ac:dyDescent="0.25">
      <c r="H70" s="31"/>
      <c r="J70" s="29"/>
    </row>
    <row r="71" spans="8:10" ht="15" customHeight="1" x14ac:dyDescent="0.25">
      <c r="H71" s="31"/>
      <c r="J71" s="29"/>
    </row>
    <row r="72" spans="8:10" ht="15" customHeight="1" x14ac:dyDescent="0.25">
      <c r="H72" s="31"/>
      <c r="J72" s="29"/>
    </row>
    <row r="73" spans="8:10" ht="15" customHeight="1" x14ac:dyDescent="0.25">
      <c r="H73" s="31"/>
      <c r="J73" s="29"/>
    </row>
    <row r="74" spans="8:10" ht="15" customHeight="1" x14ac:dyDescent="0.25">
      <c r="H74" s="31"/>
      <c r="J74" s="29"/>
    </row>
    <row r="75" spans="8:10" ht="15" customHeight="1" x14ac:dyDescent="0.25">
      <c r="H75" s="31"/>
      <c r="J75" s="29"/>
    </row>
    <row r="76" spans="8:10" ht="15" customHeight="1" x14ac:dyDescent="0.25">
      <c r="H76" s="31"/>
      <c r="J76" s="29"/>
    </row>
    <row r="77" spans="8:10" ht="15" customHeight="1" x14ac:dyDescent="0.25">
      <c r="H77" s="31"/>
      <c r="J77" s="29"/>
    </row>
    <row r="78" spans="8:10" ht="15" customHeight="1" x14ac:dyDescent="0.25">
      <c r="H78" s="31"/>
      <c r="J78" s="29"/>
    </row>
    <row r="79" spans="8:10" ht="15" customHeight="1" x14ac:dyDescent="0.25">
      <c r="H79" s="31"/>
      <c r="J79" s="29"/>
    </row>
    <row r="80" spans="8:10" ht="15" customHeight="1" x14ac:dyDescent="0.25">
      <c r="H80" s="31"/>
      <c r="J80" s="29"/>
    </row>
    <row r="81" spans="8:10" ht="15" customHeight="1" x14ac:dyDescent="0.25">
      <c r="H81" s="31"/>
      <c r="J81" s="29"/>
    </row>
    <row r="82" spans="8:10" ht="15" customHeight="1" x14ac:dyDescent="0.25">
      <c r="H82" s="31"/>
      <c r="J82" s="29"/>
    </row>
    <row r="83" spans="8:10" ht="15" customHeight="1" x14ac:dyDescent="0.25">
      <c r="H83" s="31"/>
      <c r="J83" s="29"/>
    </row>
    <row r="84" spans="8:10" ht="15" customHeight="1" x14ac:dyDescent="0.25">
      <c r="H84" s="31"/>
      <c r="J84" s="29"/>
    </row>
    <row r="85" spans="8:10" ht="15" customHeight="1" x14ac:dyDescent="0.25">
      <c r="H85" s="31"/>
      <c r="J85" s="29"/>
    </row>
    <row r="86" spans="8:10" ht="15" customHeight="1" x14ac:dyDescent="0.25">
      <c r="H86" s="31"/>
      <c r="J86" s="29"/>
    </row>
    <row r="87" spans="8:10" ht="15" customHeight="1" x14ac:dyDescent="0.25">
      <c r="H87" s="31"/>
      <c r="J87" s="29"/>
    </row>
    <row r="88" spans="8:10" ht="15" customHeight="1" x14ac:dyDescent="0.25">
      <c r="H88" s="31"/>
      <c r="J88" s="29"/>
    </row>
    <row r="89" spans="8:10" ht="15" customHeight="1" x14ac:dyDescent="0.25">
      <c r="H89" s="31"/>
      <c r="J89" s="29"/>
    </row>
    <row r="90" spans="8:10" ht="15" customHeight="1" x14ac:dyDescent="0.25">
      <c r="H90" s="31"/>
      <c r="J90" s="29"/>
    </row>
    <row r="91" spans="8:10" ht="15" customHeight="1" x14ac:dyDescent="0.25">
      <c r="H91" s="31"/>
      <c r="J91" s="29"/>
    </row>
    <row r="92" spans="8:10" ht="15" customHeight="1" x14ac:dyDescent="0.25">
      <c r="H92" s="31"/>
      <c r="J92" s="29"/>
    </row>
    <row r="93" spans="8:10" ht="15" customHeight="1" x14ac:dyDescent="0.25">
      <c r="H93" s="31"/>
      <c r="J93" s="29"/>
    </row>
    <row r="94" spans="8:10" ht="15" customHeight="1" x14ac:dyDescent="0.25">
      <c r="H94" s="31"/>
      <c r="J94" s="29"/>
    </row>
    <row r="95" spans="8:10" ht="15" customHeight="1" x14ac:dyDescent="0.25">
      <c r="H95" s="31"/>
      <c r="J95" s="29"/>
    </row>
    <row r="96" spans="8:10" ht="15" customHeight="1" x14ac:dyDescent="0.25">
      <c r="H96" s="31"/>
      <c r="J96" s="29"/>
    </row>
    <row r="97" spans="8:10" ht="15" customHeight="1" x14ac:dyDescent="0.25">
      <c r="H97" s="31"/>
      <c r="J97" s="29"/>
    </row>
    <row r="98" spans="8:10" ht="15" customHeight="1" x14ac:dyDescent="0.25">
      <c r="H98" s="31"/>
      <c r="J98" s="29"/>
    </row>
    <row r="99" spans="8:10" ht="15" customHeight="1" x14ac:dyDescent="0.25">
      <c r="H99" s="31"/>
      <c r="J99" s="29"/>
    </row>
    <row r="100" spans="8:10" ht="15" customHeight="1" x14ac:dyDescent="0.25">
      <c r="H100" s="31"/>
      <c r="J100" s="29"/>
    </row>
    <row r="101" spans="8:10" ht="15" customHeight="1" x14ac:dyDescent="0.25">
      <c r="H101" s="31"/>
      <c r="J101" s="29"/>
    </row>
    <row r="102" spans="8:10" ht="15" customHeight="1" x14ac:dyDescent="0.25">
      <c r="H102" s="31"/>
      <c r="J102" s="29"/>
    </row>
    <row r="103" spans="8:10" ht="15" customHeight="1" x14ac:dyDescent="0.25">
      <c r="H103" s="31"/>
      <c r="J103" s="29"/>
    </row>
    <row r="104" spans="8:10" ht="15" customHeight="1" x14ac:dyDescent="0.25">
      <c r="H104" s="31"/>
      <c r="J104" s="29"/>
    </row>
    <row r="105" spans="8:10" ht="15" customHeight="1" x14ac:dyDescent="0.25">
      <c r="H105" s="31"/>
      <c r="J105" s="29"/>
    </row>
    <row r="106" spans="8:10" ht="15" customHeight="1" x14ac:dyDescent="0.25">
      <c r="H106" s="31"/>
      <c r="J106" s="29"/>
    </row>
    <row r="107" spans="8:10" ht="15" customHeight="1" x14ac:dyDescent="0.25">
      <c r="H107" s="31"/>
      <c r="J107" s="29"/>
    </row>
    <row r="108" spans="8:10" ht="15" customHeight="1" x14ac:dyDescent="0.25">
      <c r="H108" s="31"/>
      <c r="J108" s="29"/>
    </row>
    <row r="109" spans="8:10" ht="15" customHeight="1" x14ac:dyDescent="0.25">
      <c r="H109" s="31"/>
      <c r="J109" s="29"/>
    </row>
    <row r="110" spans="8:10" ht="15" customHeight="1" x14ac:dyDescent="0.25">
      <c r="H110" s="31"/>
      <c r="J110" s="29"/>
    </row>
    <row r="111" spans="8:10" ht="15" customHeight="1" x14ac:dyDescent="0.25">
      <c r="H111" s="31"/>
      <c r="J111" s="29"/>
    </row>
    <row r="112" spans="8:10" ht="15" customHeight="1" x14ac:dyDescent="0.25">
      <c r="H112" s="31"/>
      <c r="J112" s="29"/>
    </row>
    <row r="113" spans="8:10" ht="15" customHeight="1" x14ac:dyDescent="0.25">
      <c r="H113" s="31"/>
      <c r="J113" s="29"/>
    </row>
    <row r="114" spans="8:10" ht="15" customHeight="1" x14ac:dyDescent="0.25">
      <c r="H114" s="31"/>
      <c r="J114" s="29"/>
    </row>
    <row r="115" spans="8:10" ht="15" customHeight="1" x14ac:dyDescent="0.25">
      <c r="H115" s="31"/>
      <c r="J115" s="29"/>
    </row>
    <row r="116" spans="8:10" ht="15" customHeight="1" x14ac:dyDescent="0.25">
      <c r="H116" s="31"/>
      <c r="J116" s="29"/>
    </row>
    <row r="117" spans="8:10" ht="15" customHeight="1" x14ac:dyDescent="0.25">
      <c r="H117" s="31"/>
      <c r="J117" s="29"/>
    </row>
    <row r="118" spans="8:10" ht="15" customHeight="1" x14ac:dyDescent="0.25">
      <c r="H118" s="31"/>
      <c r="J118" s="29"/>
    </row>
    <row r="119" spans="8:10" ht="15" customHeight="1" x14ac:dyDescent="0.25">
      <c r="H119" s="31"/>
      <c r="J119" s="29"/>
    </row>
    <row r="120" spans="8:10" ht="15" customHeight="1" x14ac:dyDescent="0.25">
      <c r="H120" s="31"/>
      <c r="J120" s="29"/>
    </row>
    <row r="121" spans="8:10" ht="15" customHeight="1" x14ac:dyDescent="0.25">
      <c r="H121" s="31"/>
      <c r="J121" s="29"/>
    </row>
    <row r="122" spans="8:10" ht="15" customHeight="1" x14ac:dyDescent="0.25">
      <c r="H122" s="31"/>
      <c r="J122" s="29"/>
    </row>
    <row r="123" spans="8:10" ht="15" customHeight="1" x14ac:dyDescent="0.25">
      <c r="H123" s="31"/>
      <c r="J123" s="29"/>
    </row>
    <row r="124" spans="8:10" ht="15" customHeight="1" x14ac:dyDescent="0.25">
      <c r="H124" s="31"/>
      <c r="J124" s="29"/>
    </row>
    <row r="125" spans="8:10" ht="15" customHeight="1" x14ac:dyDescent="0.25">
      <c r="H125" s="31"/>
      <c r="J125" s="29"/>
    </row>
    <row r="126" spans="8:10" ht="15" customHeight="1" x14ac:dyDescent="0.25">
      <c r="H126" s="31"/>
    </row>
    <row r="127" spans="8:10" ht="15" customHeight="1" x14ac:dyDescent="0.25">
      <c r="H127" s="31"/>
    </row>
    <row r="128" spans="8:10" ht="15" customHeight="1" x14ac:dyDescent="0.25">
      <c r="H128" s="31"/>
    </row>
    <row r="129" spans="8:8" ht="15" customHeight="1" x14ac:dyDescent="0.25">
      <c r="H129" s="31"/>
    </row>
    <row r="130" spans="8:8" ht="15" customHeight="1" x14ac:dyDescent="0.25">
      <c r="H130" s="31"/>
    </row>
    <row r="131" spans="8:8" ht="15" customHeight="1" x14ac:dyDescent="0.25">
      <c r="H131" s="31"/>
    </row>
    <row r="132" spans="8:8" ht="15" customHeight="1" x14ac:dyDescent="0.25">
      <c r="H132" s="31"/>
    </row>
    <row r="133" spans="8:8" ht="15" customHeight="1" x14ac:dyDescent="0.25">
      <c r="H133" s="31"/>
    </row>
    <row r="134" spans="8:8" ht="15" customHeight="1" x14ac:dyDescent="0.25">
      <c r="H134" s="31"/>
    </row>
    <row r="135" spans="8:8" ht="15" customHeight="1" x14ac:dyDescent="0.25">
      <c r="H135" s="31"/>
    </row>
    <row r="136" spans="8:8" ht="15" customHeight="1" x14ac:dyDescent="0.25">
      <c r="H136" s="31"/>
    </row>
    <row r="137" spans="8:8" ht="15" customHeight="1" x14ac:dyDescent="0.25">
      <c r="H137" s="31"/>
    </row>
    <row r="138" spans="8:8" ht="15" customHeight="1" x14ac:dyDescent="0.25">
      <c r="H138" s="31"/>
    </row>
    <row r="139" spans="8:8" ht="15" customHeight="1" x14ac:dyDescent="0.25">
      <c r="H139" s="31"/>
    </row>
    <row r="140" spans="8:8" ht="15" customHeight="1" x14ac:dyDescent="0.25">
      <c r="H140" s="31"/>
    </row>
    <row r="141" spans="8:8" ht="15" customHeight="1" x14ac:dyDescent="0.25">
      <c r="H141" s="31"/>
    </row>
    <row r="142" spans="8:8" ht="15" customHeight="1" x14ac:dyDescent="0.25">
      <c r="H142" s="31"/>
    </row>
    <row r="143" spans="8:8" ht="15" customHeight="1" x14ac:dyDescent="0.25">
      <c r="H143" s="31"/>
    </row>
    <row r="144" spans="8:8" ht="15" customHeight="1" x14ac:dyDescent="0.25">
      <c r="H144" s="31"/>
    </row>
    <row r="145" spans="8:8" ht="15" customHeight="1" x14ac:dyDescent="0.25">
      <c r="H145" s="31"/>
    </row>
    <row r="146" spans="8:8" ht="15" customHeight="1" x14ac:dyDescent="0.25">
      <c r="H146" s="31"/>
    </row>
    <row r="147" spans="8:8" ht="15" customHeight="1" x14ac:dyDescent="0.25">
      <c r="H147" s="31"/>
    </row>
    <row r="148" spans="8:8" ht="15" customHeight="1" x14ac:dyDescent="0.25">
      <c r="H148" s="31"/>
    </row>
    <row r="149" spans="8:8" ht="15" customHeight="1" x14ac:dyDescent="0.25">
      <c r="H149" s="31"/>
    </row>
    <row r="150" spans="8:8" ht="15" customHeight="1" x14ac:dyDescent="0.25">
      <c r="H150" s="31"/>
    </row>
    <row r="151" spans="8:8" ht="15" customHeight="1" x14ac:dyDescent="0.25">
      <c r="H151" s="31"/>
    </row>
    <row r="152" spans="8:8" ht="15" customHeight="1" x14ac:dyDescent="0.25">
      <c r="H152" s="31"/>
    </row>
    <row r="153" spans="8:8" ht="15" customHeight="1" x14ac:dyDescent="0.25">
      <c r="H153" s="31"/>
    </row>
    <row r="154" spans="8:8" ht="15" customHeight="1" x14ac:dyDescent="0.25">
      <c r="H154" s="31"/>
    </row>
    <row r="155" spans="8:8" ht="15" customHeight="1" x14ac:dyDescent="0.25">
      <c r="H155" s="31"/>
    </row>
    <row r="156" spans="8:8" ht="15" customHeight="1" x14ac:dyDescent="0.25">
      <c r="H156" s="31"/>
    </row>
    <row r="157" spans="8:8" ht="15" customHeight="1" x14ac:dyDescent="0.25">
      <c r="H157" s="31"/>
    </row>
    <row r="158" spans="8:8" ht="15" customHeight="1" x14ac:dyDescent="0.25">
      <c r="H158" s="31"/>
    </row>
    <row r="159" spans="8:8" ht="15" customHeight="1" x14ac:dyDescent="0.25">
      <c r="H159" s="31"/>
    </row>
    <row r="160" spans="8:8" ht="15" customHeight="1" x14ac:dyDescent="0.25">
      <c r="H160" s="31"/>
    </row>
    <row r="161" spans="8:8" ht="15" customHeight="1" x14ac:dyDescent="0.25">
      <c r="H161" s="31"/>
    </row>
    <row r="162" spans="8:8" ht="15" customHeight="1" x14ac:dyDescent="0.25">
      <c r="H162" s="31"/>
    </row>
    <row r="163" spans="8:8" ht="15" customHeight="1" x14ac:dyDescent="0.25">
      <c r="H163" s="31"/>
    </row>
    <row r="164" spans="8:8" ht="15" customHeight="1" x14ac:dyDescent="0.25">
      <c r="H164" s="31"/>
    </row>
    <row r="165" spans="8:8" ht="15" customHeight="1" x14ac:dyDescent="0.25">
      <c r="H165" s="31"/>
    </row>
    <row r="166" spans="8:8" ht="15" customHeight="1" x14ac:dyDescent="0.25">
      <c r="H166" s="31"/>
    </row>
    <row r="167" spans="8:8" ht="15" customHeight="1" x14ac:dyDescent="0.25">
      <c r="H167" s="31"/>
    </row>
    <row r="168" spans="8:8" ht="15" customHeight="1" x14ac:dyDescent="0.25">
      <c r="H168" s="31"/>
    </row>
    <row r="169" spans="8:8" ht="15" customHeight="1" x14ac:dyDescent="0.25">
      <c r="H169" s="31"/>
    </row>
    <row r="170" spans="8:8" ht="15" customHeight="1" x14ac:dyDescent="0.25">
      <c r="H170" s="31"/>
    </row>
    <row r="171" spans="8:8" ht="15" customHeight="1" x14ac:dyDescent="0.25">
      <c r="H171" s="31"/>
    </row>
    <row r="172" spans="8:8" ht="15" customHeight="1" x14ac:dyDescent="0.25">
      <c r="H172" s="31"/>
    </row>
    <row r="173" spans="8:8" ht="15" customHeight="1" x14ac:dyDescent="0.25">
      <c r="H173" s="31"/>
    </row>
    <row r="174" spans="8:8" ht="15" customHeight="1" x14ac:dyDescent="0.25">
      <c r="H174" s="31"/>
    </row>
    <row r="175" spans="8:8" ht="15" customHeight="1" x14ac:dyDescent="0.25">
      <c r="H175" s="31"/>
    </row>
    <row r="176" spans="8:8" ht="15" customHeight="1" x14ac:dyDescent="0.25">
      <c r="H176" s="31"/>
    </row>
    <row r="177" spans="8:8" ht="15" customHeight="1" x14ac:dyDescent="0.25">
      <c r="H177" s="31"/>
    </row>
    <row r="178" spans="8:8" ht="15" customHeight="1" x14ac:dyDescent="0.25">
      <c r="H178" s="31"/>
    </row>
    <row r="179" spans="8:8" ht="15" customHeight="1" x14ac:dyDescent="0.25">
      <c r="H179" s="31"/>
    </row>
    <row r="180" spans="8:8" ht="15" customHeight="1" x14ac:dyDescent="0.25">
      <c r="H180" s="31"/>
    </row>
    <row r="181" spans="8:8" ht="15" customHeight="1" x14ac:dyDescent="0.25">
      <c r="H181" s="31"/>
    </row>
    <row r="182" spans="8:8" ht="15" customHeight="1" x14ac:dyDescent="0.25">
      <c r="H182" s="31"/>
    </row>
    <row r="183" spans="8:8" ht="15" customHeight="1" x14ac:dyDescent="0.25">
      <c r="H183" s="31"/>
    </row>
    <row r="184" spans="8:8" ht="15" customHeight="1" x14ac:dyDescent="0.25">
      <c r="H184" s="31"/>
    </row>
    <row r="185" spans="8:8" ht="15" customHeight="1" x14ac:dyDescent="0.25">
      <c r="H185" s="31"/>
    </row>
    <row r="186" spans="8:8" ht="15" customHeight="1" x14ac:dyDescent="0.25">
      <c r="H186" s="31"/>
    </row>
    <row r="187" spans="8:8" ht="15" customHeight="1" x14ac:dyDescent="0.25">
      <c r="H187" s="31"/>
    </row>
    <row r="188" spans="8:8" ht="15" customHeight="1" x14ac:dyDescent="0.25">
      <c r="H188" s="31"/>
    </row>
    <row r="189" spans="8:8" ht="15" customHeight="1" x14ac:dyDescent="0.25">
      <c r="H189" s="31"/>
    </row>
    <row r="190" spans="8:8" ht="15" customHeight="1" x14ac:dyDescent="0.25">
      <c r="H190" s="31"/>
    </row>
    <row r="191" spans="8:8" ht="15" customHeight="1" x14ac:dyDescent="0.25">
      <c r="H191" s="31"/>
    </row>
    <row r="192" spans="8:8" ht="15" customHeight="1" x14ac:dyDescent="0.25">
      <c r="H192" s="31"/>
    </row>
    <row r="193" spans="8:8" ht="15" customHeight="1" x14ac:dyDescent="0.25">
      <c r="H193" s="31"/>
    </row>
    <row r="194" spans="8:8" ht="15" customHeight="1" x14ac:dyDescent="0.25">
      <c r="H194" s="31"/>
    </row>
    <row r="195" spans="8:8" ht="15" customHeight="1" x14ac:dyDescent="0.25">
      <c r="H195" s="31"/>
    </row>
    <row r="196" spans="8:8" ht="15" customHeight="1" x14ac:dyDescent="0.25">
      <c r="H196" s="31"/>
    </row>
    <row r="197" spans="8:8" ht="15" customHeight="1" x14ac:dyDescent="0.25">
      <c r="H197" s="31"/>
    </row>
    <row r="198" spans="8:8" ht="15" customHeight="1" x14ac:dyDescent="0.25">
      <c r="H198" s="31"/>
    </row>
    <row r="199" spans="8:8" ht="15" customHeight="1" x14ac:dyDescent="0.25">
      <c r="H199" s="31"/>
    </row>
    <row r="200" spans="8:8" ht="15" customHeight="1" x14ac:dyDescent="0.25">
      <c r="H200" s="31"/>
    </row>
    <row r="201" spans="8:8" ht="15" customHeight="1" x14ac:dyDescent="0.25">
      <c r="H201" s="31"/>
    </row>
    <row r="202" spans="8:8" ht="15" customHeight="1" x14ac:dyDescent="0.25">
      <c r="H202" s="31"/>
    </row>
    <row r="203" spans="8:8" ht="15" customHeight="1" x14ac:dyDescent="0.25">
      <c r="H203" s="31"/>
    </row>
    <row r="204" spans="8:8" ht="15" customHeight="1" x14ac:dyDescent="0.25">
      <c r="H204" s="31"/>
    </row>
    <row r="205" spans="8:8" ht="15" customHeight="1" x14ac:dyDescent="0.25">
      <c r="H205" s="31"/>
    </row>
    <row r="206" spans="8:8" ht="15" customHeight="1" x14ac:dyDescent="0.25">
      <c r="H206" s="31"/>
    </row>
    <row r="207" spans="8:8" ht="15" customHeight="1" x14ac:dyDescent="0.25">
      <c r="H207" s="31"/>
    </row>
    <row r="208" spans="8:8" ht="15" customHeight="1" x14ac:dyDescent="0.25">
      <c r="H208" s="31"/>
    </row>
    <row r="209" spans="8:8" ht="15" customHeight="1" x14ac:dyDescent="0.25">
      <c r="H209" s="31"/>
    </row>
    <row r="210" spans="8:8" ht="15" customHeight="1" x14ac:dyDescent="0.25">
      <c r="H210" s="31"/>
    </row>
    <row r="211" spans="8:8" ht="15" customHeight="1" x14ac:dyDescent="0.25">
      <c r="H211" s="31"/>
    </row>
    <row r="212" spans="8:8" ht="15" customHeight="1" x14ac:dyDescent="0.25">
      <c r="H212" s="31"/>
    </row>
    <row r="213" spans="8:8" ht="15" customHeight="1" x14ac:dyDescent="0.25">
      <c r="H213" s="31"/>
    </row>
    <row r="214" spans="8:8" ht="15" customHeight="1" x14ac:dyDescent="0.25">
      <c r="H214" s="31"/>
    </row>
    <row r="215" spans="8:8" ht="15" customHeight="1" x14ac:dyDescent="0.25">
      <c r="H215" s="31"/>
    </row>
    <row r="216" spans="8:8" ht="15" customHeight="1" x14ac:dyDescent="0.25">
      <c r="H216" s="31"/>
    </row>
    <row r="217" spans="8:8" ht="15" customHeight="1" x14ac:dyDescent="0.25">
      <c r="H217" s="31"/>
    </row>
    <row r="218" spans="8:8" ht="15" customHeight="1" x14ac:dyDescent="0.25">
      <c r="H218" s="31"/>
    </row>
    <row r="219" spans="8:8" ht="15" customHeight="1" x14ac:dyDescent="0.25">
      <c r="H219" s="31"/>
    </row>
    <row r="220" spans="8:8" ht="15" customHeight="1" x14ac:dyDescent="0.25">
      <c r="H220" s="31"/>
    </row>
    <row r="221" spans="8:8" ht="15" customHeight="1" x14ac:dyDescent="0.25">
      <c r="H221" s="31"/>
    </row>
    <row r="222" spans="8:8" ht="15" customHeight="1" x14ac:dyDescent="0.25">
      <c r="H222" s="31"/>
    </row>
    <row r="223" spans="8:8" ht="15" customHeight="1" x14ac:dyDescent="0.25">
      <c r="H223" s="31"/>
    </row>
    <row r="224" spans="8:8" ht="15" customHeight="1" x14ac:dyDescent="0.25">
      <c r="H224" s="31"/>
    </row>
    <row r="225" spans="8:8" ht="15" customHeight="1" x14ac:dyDescent="0.25">
      <c r="H225" s="31"/>
    </row>
    <row r="226" spans="8:8" ht="15" customHeight="1" x14ac:dyDescent="0.25">
      <c r="H226" s="31"/>
    </row>
    <row r="227" spans="8:8" ht="15" customHeight="1" x14ac:dyDescent="0.25">
      <c r="H227" s="31"/>
    </row>
    <row r="228" spans="8:8" ht="15" customHeight="1" x14ac:dyDescent="0.25">
      <c r="H228" s="31"/>
    </row>
    <row r="229" spans="8:8" ht="15" customHeight="1" x14ac:dyDescent="0.25">
      <c r="H229" s="31"/>
    </row>
    <row r="230" spans="8:8" ht="15" customHeight="1" x14ac:dyDescent="0.25">
      <c r="H230" s="31"/>
    </row>
  </sheetData>
  <autoFilter ref="E1:L125">
    <sortState ref="E2:M21">
      <sortCondition ref="I1:I101"/>
    </sortState>
  </autoFilter>
  <conditionalFormatting sqref="B9">
    <cfRule type="cellIs" dxfId="7" priority="10" operator="greaterThan">
      <formula>0.95</formula>
    </cfRule>
  </conditionalFormatting>
  <conditionalFormatting sqref="J2:J1048576">
    <cfRule type="cellIs" dxfId="6" priority="8" operator="equal">
      <formula>"&lt; 0"</formula>
    </cfRule>
    <cfRule type="cellIs" dxfId="5" priority="13" operator="greaterThanOrEqual">
      <formula>$B$12</formula>
    </cfRule>
    <cfRule type="cellIs" dxfId="4" priority="14" operator="between">
      <formula>$B$13</formula>
      <formula>"&lt;$B$12"</formula>
    </cfRule>
    <cfRule type="cellIs" dxfId="3" priority="17" operator="between">
      <formula>0.0001</formula>
      <formula>"&lt;$B$13"</formula>
    </cfRule>
  </conditionalFormatting>
  <conditionalFormatting sqref="L1:L1048576">
    <cfRule type="cellIs" dxfId="2" priority="2" operator="equal">
      <formula>1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9" operator="beginsWith" id="{EA260348-4AA8-45BF-BDCD-557A01152ED8}">
            <xm:f>LEFT(I1,LEN($B$1&amp;" "&amp;$C$1))=$B$1&amp;" "&amp;$C$1</xm:f>
            <xm:f>$B$1&amp;" "&amp;$C$1</xm:f>
            <x14:dxf>
              <fill>
                <patternFill>
                  <bgColor rgb="FFFF0000"/>
                </patternFill>
              </fill>
            </x14:dxf>
          </x14:cfRule>
          <xm:sqref>I1:I1048576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J47"/>
  <sheetViews>
    <sheetView tabSelected="1" showWhiteSpace="0" zoomScaleNormal="100" zoomScaleSheetLayoutView="110" workbookViewId="0">
      <selection activeCell="A46" sqref="A1:F46"/>
    </sheetView>
  </sheetViews>
  <sheetFormatPr baseColWidth="10" defaultColWidth="10.875" defaultRowHeight="15" x14ac:dyDescent="0.2"/>
  <cols>
    <col min="1" max="1" width="20.875" style="19" customWidth="1"/>
    <col min="2" max="2" width="17.75" style="19" customWidth="1"/>
    <col min="3" max="3" width="19.5" style="19" customWidth="1"/>
    <col min="4" max="4" width="8.25" style="19" customWidth="1"/>
    <col min="5" max="5" width="5" style="17" customWidth="1"/>
    <col min="6" max="6" width="4.375" style="17" customWidth="1"/>
    <col min="7" max="16384" width="10.875" style="17"/>
  </cols>
  <sheetData>
    <row r="1" spans="1:10" x14ac:dyDescent="0.2">
      <c r="A1" s="187" t="s">
        <v>56</v>
      </c>
      <c r="B1" s="187"/>
      <c r="C1" s="187"/>
      <c r="D1" s="187"/>
      <c r="E1" s="188"/>
      <c r="F1" s="188"/>
    </row>
    <row r="2" spans="1:10" x14ac:dyDescent="0.2">
      <c r="A2" s="230" t="s">
        <v>91</v>
      </c>
      <c r="B2" s="230"/>
      <c r="C2" s="230"/>
      <c r="D2" s="230"/>
      <c r="E2" s="150"/>
      <c r="F2" s="150"/>
    </row>
    <row r="3" spans="1:10" ht="18.75" x14ac:dyDescent="0.2">
      <c r="A3" s="231" t="str">
        <f>"Parameter: "&amp;'Parameter (Spezies)'!B1&amp;" "&amp;'Parameter (Spezies)'!C1</f>
        <v>Parameter: Vaccinium myrtillus</v>
      </c>
      <c r="B3" s="231"/>
      <c r="C3" s="231"/>
      <c r="D3" s="231"/>
      <c r="E3" s="232"/>
      <c r="F3" s="232"/>
    </row>
    <row r="4" spans="1:10" x14ac:dyDescent="0.2">
      <c r="A4" s="107" t="s">
        <v>18</v>
      </c>
      <c r="B4" s="115">
        <v>1</v>
      </c>
      <c r="C4" s="116"/>
      <c r="D4" s="110"/>
      <c r="E4" s="44"/>
      <c r="F4" s="44"/>
    </row>
    <row r="5" spans="1:10" x14ac:dyDescent="0.2">
      <c r="A5" s="107" t="s">
        <v>19</v>
      </c>
      <c r="B5" s="115" t="s">
        <v>44</v>
      </c>
      <c r="C5" s="107" t="s">
        <v>24</v>
      </c>
      <c r="D5" s="226" t="s">
        <v>46</v>
      </c>
      <c r="E5" s="227"/>
      <c r="F5" s="44"/>
    </row>
    <row r="6" spans="1:10" x14ac:dyDescent="0.2">
      <c r="A6" s="108" t="s">
        <v>22</v>
      </c>
      <c r="B6" s="117">
        <v>44964</v>
      </c>
      <c r="C6" s="108" t="s">
        <v>25</v>
      </c>
      <c r="D6" s="224">
        <v>44971</v>
      </c>
      <c r="E6" s="225"/>
      <c r="F6" s="118"/>
    </row>
    <row r="7" spans="1:10" s="33" customFormat="1" x14ac:dyDescent="0.2">
      <c r="A7" s="109" t="s">
        <v>62</v>
      </c>
      <c r="B7" s="233" t="s">
        <v>206</v>
      </c>
      <c r="C7" s="197"/>
      <c r="D7" s="197"/>
      <c r="E7" s="197"/>
      <c r="F7" s="197"/>
    </row>
    <row r="8" spans="1:10" ht="15" customHeight="1" x14ac:dyDescent="0.2">
      <c r="A8" s="109" t="s">
        <v>61</v>
      </c>
      <c r="B8" s="233" t="s">
        <v>207</v>
      </c>
      <c r="C8" s="197"/>
      <c r="D8" s="197"/>
      <c r="E8" s="197"/>
      <c r="F8" s="197"/>
    </row>
    <row r="9" spans="1:10" x14ac:dyDescent="0.2">
      <c r="A9" s="109" t="s">
        <v>47</v>
      </c>
      <c r="B9" s="116"/>
      <c r="C9" s="110" t="s">
        <v>205</v>
      </c>
      <c r="D9" s="110" t="s">
        <v>48</v>
      </c>
      <c r="E9" s="44"/>
      <c r="F9" s="44"/>
    </row>
    <row r="10" spans="1:10" x14ac:dyDescent="0.2">
      <c r="A10" s="107" t="s">
        <v>20</v>
      </c>
      <c r="B10" s="196" t="s">
        <v>208</v>
      </c>
      <c r="C10" s="196"/>
      <c r="D10" s="110"/>
      <c r="E10" s="44"/>
      <c r="F10" s="44"/>
    </row>
    <row r="11" spans="1:10" x14ac:dyDescent="0.2">
      <c r="A11" s="229" t="str">
        <f>"Validierungsisolate/-materialien (Parameter): "&amp;'Parameter (Spezies)'!B3</f>
        <v>Validierungsisolate/-materialien (Parameter): 22</v>
      </c>
      <c r="B11" s="229"/>
      <c r="C11" s="234" t="str">
        <f>"Vergleichsisolate/-materialien (#Parameter): "&amp;'#Parameter (Spezies)'!B3</f>
        <v>Vergleichsisolate/-materialien (#Parameter): 41</v>
      </c>
      <c r="D11" s="234"/>
      <c r="E11" s="235"/>
      <c r="F11" s="235"/>
    </row>
    <row r="12" spans="1:10" s="24" customFormat="1" x14ac:dyDescent="0.2">
      <c r="A12" s="228"/>
      <c r="B12" s="228"/>
      <c r="C12" s="228"/>
      <c r="D12" s="228"/>
      <c r="E12" s="88"/>
      <c r="F12" s="88"/>
    </row>
    <row r="13" spans="1:10" s="24" customFormat="1" x14ac:dyDescent="0.2">
      <c r="A13" s="228"/>
      <c r="B13" s="228"/>
      <c r="C13" s="228"/>
      <c r="D13" s="228"/>
      <c r="E13" s="88"/>
      <c r="F13" s="88"/>
      <c r="J13" s="33"/>
    </row>
    <row r="14" spans="1:10" x14ac:dyDescent="0.2">
      <c r="A14" s="196" t="s">
        <v>176</v>
      </c>
      <c r="B14" s="196"/>
      <c r="C14" s="196"/>
      <c r="D14" s="196"/>
      <c r="E14" s="197"/>
      <c r="F14" s="197"/>
    </row>
    <row r="15" spans="1:10" x14ac:dyDescent="0.2">
      <c r="A15" s="196" t="s">
        <v>177</v>
      </c>
      <c r="B15" s="196"/>
      <c r="C15" s="196"/>
      <c r="D15" s="196"/>
      <c r="E15" s="197"/>
      <c r="F15" s="197"/>
    </row>
    <row r="16" spans="1:10" x14ac:dyDescent="0.2">
      <c r="A16" s="196" t="s">
        <v>178</v>
      </c>
      <c r="B16" s="196"/>
      <c r="C16" s="196"/>
      <c r="D16" s="196"/>
      <c r="E16" s="197"/>
      <c r="F16" s="197"/>
    </row>
    <row r="17" spans="1:7" s="33" customFormat="1" x14ac:dyDescent="0.2">
      <c r="A17" s="152" t="s">
        <v>89</v>
      </c>
      <c r="B17" s="153"/>
      <c r="C17" s="153"/>
      <c r="D17" s="153"/>
      <c r="E17" s="153"/>
      <c r="F17" s="153"/>
    </row>
    <row r="18" spans="1:7" s="33" customFormat="1" ht="55.5" customHeight="1" x14ac:dyDescent="0.2">
      <c r="A18" s="222" t="str">
        <f>"Richtig-positiv: 1. Hit =Ziel-Parameter mit Score ≥ "&amp;'Parameter (Spezies)'!$B$12&amp;" und Score 2. Hit &lt; "&amp;'Parameter (Spezies)'!$B$13&amp;" oder
Score 2. Hit ≥ "&amp;'Parameter (Spezies)'!$B$13&amp;" &amp; Gattung gleich 1. Hit oder
Score 2. Hit ≥  "&amp;'Parameter (Spezies)'!$B$12&amp;"  &amp; Art gleich 1. Hit"</f>
        <v>Richtig-positiv: 1. Hit =Ziel-Parameter mit Score ≥ 2 und Score 2. Hit &lt; 1.7 oder
Score 2. Hit ≥ 1.7 &amp; Gattung gleich 1. Hit oder
Score 2. Hit ≥  2  &amp; Art gleich 1. Hit</v>
      </c>
      <c r="B18" s="222"/>
      <c r="C18" s="223" t="str">
        <f>"Richtig-negativ: 1. Hit ohne Zuordnung zum Ziel-Parameter mit score ≥ "&amp;'Parameter (Spezies)'!B12&amp;"
"</f>
        <v xml:space="preserve">Richtig-negativ: 1. Hit ohne Zuordnung zum Ziel-Parameter mit score ≥ 2
</v>
      </c>
      <c r="D18" s="223"/>
      <c r="E18" s="223"/>
      <c r="F18" s="223"/>
      <c r="G18" s="151"/>
    </row>
    <row r="19" spans="1:7" s="33" customFormat="1" ht="32.25" customHeight="1" x14ac:dyDescent="0.2">
      <c r="A19" s="221" t="s">
        <v>90</v>
      </c>
      <c r="B19" s="221"/>
      <c r="C19" s="217" t="str">
        <f>"Falsch-positiv: Kriterien für richtig-negativ werden nicht erfüllt"</f>
        <v>Falsch-positiv: Kriterien für richtig-negativ werden nicht erfüllt</v>
      </c>
      <c r="D19" s="217"/>
      <c r="E19" s="217"/>
      <c r="F19" s="217"/>
    </row>
    <row r="20" spans="1:7" s="33" customFormat="1" x14ac:dyDescent="0.2">
      <c r="A20" s="111"/>
      <c r="B20" s="111"/>
      <c r="C20" s="111"/>
      <c r="D20" s="111"/>
      <c r="E20" s="112"/>
      <c r="F20" s="112"/>
    </row>
    <row r="21" spans="1:7" s="33" customFormat="1" x14ac:dyDescent="0.2">
      <c r="A21" s="87" t="s">
        <v>21</v>
      </c>
      <c r="B21" s="95" t="s">
        <v>60</v>
      </c>
      <c r="C21" s="96" t="str">
        <f>'Parameter (Spezies)'!B1&amp;" "&amp;'Parameter (Spezies)'!C1</f>
        <v>Vaccinium myrtillus</v>
      </c>
      <c r="D21" s="97"/>
      <c r="E21" s="113" t="s">
        <v>69</v>
      </c>
      <c r="F21" s="114" t="s">
        <v>59</v>
      </c>
    </row>
    <row r="22" spans="1:7" s="33" customFormat="1" x14ac:dyDescent="0.2">
      <c r="A22" s="68" t="s">
        <v>63</v>
      </c>
      <c r="B22" s="69">
        <f>'Parameter (Spezies)'!B3</f>
        <v>22</v>
      </c>
      <c r="C22" s="77"/>
      <c r="D22" s="77"/>
      <c r="E22" s="70"/>
      <c r="F22" s="71"/>
    </row>
    <row r="23" spans="1:7" s="33" customFormat="1" x14ac:dyDescent="0.2">
      <c r="A23" s="68" t="s">
        <v>64</v>
      </c>
      <c r="B23" s="119">
        <f>B26+B27</f>
        <v>22</v>
      </c>
      <c r="C23" s="72" t="s">
        <v>55</v>
      </c>
      <c r="D23" s="73">
        <f>B23/B22</f>
        <v>1</v>
      </c>
      <c r="E23" s="74">
        <v>20</v>
      </c>
      <c r="F23" s="89" t="str">
        <f>IF(E23&lt;=(SUM(B23)),"ja","nein")</f>
        <v>ja</v>
      </c>
      <c r="G23" s="26">
        <f>IF((F23="ja"),1,0)</f>
        <v>1</v>
      </c>
    </row>
    <row r="24" spans="1:7" s="33" customFormat="1" x14ac:dyDescent="0.2">
      <c r="A24" s="75" t="s">
        <v>65</v>
      </c>
      <c r="B24" s="69">
        <f>SUM('Parameter (Spezies)'!E:E)</f>
        <v>22</v>
      </c>
      <c r="C24" s="76"/>
      <c r="D24" s="77"/>
      <c r="E24" s="74">
        <f>0.2*B23</f>
        <v>4.4000000000000004</v>
      </c>
      <c r="F24" s="89" t="str">
        <f>IF(E24&lt;=(SUM(B24)),"ja","nein")</f>
        <v>ja</v>
      </c>
      <c r="G24" s="33">
        <f t="shared" ref="G24:G34" si="0">IF((F24="ja"),1,0)</f>
        <v>1</v>
      </c>
    </row>
    <row r="25" spans="1:7" s="33" customFormat="1" x14ac:dyDescent="0.2">
      <c r="A25" s="78" t="s">
        <v>78</v>
      </c>
      <c r="B25" s="69"/>
      <c r="C25" s="200" t="s">
        <v>49</v>
      </c>
      <c r="D25" s="201"/>
      <c r="E25" s="70"/>
      <c r="F25" s="90"/>
    </row>
    <row r="26" spans="1:7" s="33" customFormat="1" x14ac:dyDescent="0.2">
      <c r="A26" s="79" t="s">
        <v>70</v>
      </c>
      <c r="B26" s="100">
        <f>'Parameter (Spezies)'!B7</f>
        <v>22</v>
      </c>
      <c r="C26" s="80" t="s">
        <v>51</v>
      </c>
      <c r="D26" s="81">
        <f>B26/B23</f>
        <v>1</v>
      </c>
      <c r="E26" s="82">
        <v>0.95</v>
      </c>
      <c r="F26" s="90" t="str">
        <f>IF(E26&lt;=D26,"ja","nein")</f>
        <v>ja</v>
      </c>
      <c r="G26" s="33">
        <f t="shared" si="0"/>
        <v>1</v>
      </c>
    </row>
    <row r="27" spans="1:7" s="33" customFormat="1" x14ac:dyDescent="0.2">
      <c r="A27" s="83" t="s">
        <v>72</v>
      </c>
      <c r="B27" s="99">
        <f>'Parameter (Spezies)'!B26</f>
        <v>0</v>
      </c>
      <c r="C27" s="84" t="s">
        <v>53</v>
      </c>
      <c r="D27" s="85">
        <f>B27/B23</f>
        <v>0</v>
      </c>
      <c r="E27" s="86">
        <v>0.01</v>
      </c>
      <c r="F27" s="102" t="str">
        <f>IF(E27&gt;=D27,"ja","nein")</f>
        <v>ja</v>
      </c>
      <c r="G27" s="33">
        <f t="shared" si="0"/>
        <v>1</v>
      </c>
    </row>
    <row r="28" spans="1:7" s="33" customFormat="1" x14ac:dyDescent="0.2">
      <c r="A28" s="46"/>
      <c r="B28" s="47" t="s">
        <v>66</v>
      </c>
      <c r="C28" s="48"/>
      <c r="D28" s="49"/>
      <c r="E28" s="50"/>
      <c r="F28" s="91"/>
    </row>
    <row r="29" spans="1:7" x14ac:dyDescent="0.2">
      <c r="A29" s="51" t="s">
        <v>63</v>
      </c>
      <c r="B29" s="52">
        <f>'#Parameter (Spezies) DB'!B3</f>
        <v>41</v>
      </c>
      <c r="C29" s="46"/>
      <c r="D29" s="46"/>
      <c r="E29" s="53"/>
      <c r="F29" s="92"/>
      <c r="G29" s="33"/>
    </row>
    <row r="30" spans="1:7" s="33" customFormat="1" x14ac:dyDescent="0.2">
      <c r="A30" s="51" t="s">
        <v>64</v>
      </c>
      <c r="B30" s="47">
        <f>SUM(B33:B34)</f>
        <v>39</v>
      </c>
      <c r="C30" s="54" t="s">
        <v>55</v>
      </c>
      <c r="D30" s="55">
        <f>B30/B29</f>
        <v>0.95121951219512191</v>
      </c>
      <c r="E30" s="52">
        <v>30</v>
      </c>
      <c r="F30" s="93" t="str">
        <f>IF(E30&lt;=(SUM(B30)),"ja","nein")</f>
        <v>ja</v>
      </c>
      <c r="G30" s="33">
        <f t="shared" si="0"/>
        <v>1</v>
      </c>
    </row>
    <row r="31" spans="1:7" s="33" customFormat="1" x14ac:dyDescent="0.2">
      <c r="A31" s="56" t="s">
        <v>65</v>
      </c>
      <c r="B31" s="52">
        <f>SUM('#Parameter (Spezies) DB'!E:E)</f>
        <v>39</v>
      </c>
      <c r="C31" s="57"/>
      <c r="D31" s="58"/>
      <c r="E31" s="103">
        <f>0.2*B30</f>
        <v>7.8000000000000007</v>
      </c>
      <c r="F31" s="93" t="str">
        <f>IF(E31&lt;=(SUM(B31)),"ja","nein")</f>
        <v>ja</v>
      </c>
      <c r="G31" s="33">
        <f t="shared" si="0"/>
        <v>1</v>
      </c>
    </row>
    <row r="32" spans="1:7" ht="14.45" customHeight="1" x14ac:dyDescent="0.2">
      <c r="A32" s="59" t="s">
        <v>78</v>
      </c>
      <c r="B32" s="52"/>
      <c r="C32" s="202" t="s">
        <v>50</v>
      </c>
      <c r="D32" s="203"/>
      <c r="E32" s="53"/>
      <c r="F32" s="92"/>
      <c r="G32" s="33"/>
    </row>
    <row r="33" spans="1:8" ht="14.45" customHeight="1" x14ac:dyDescent="0.2">
      <c r="A33" s="60" t="s">
        <v>73</v>
      </c>
      <c r="B33" s="101">
        <f>'#Parameter (Spezies) DB'!B6</f>
        <v>39</v>
      </c>
      <c r="C33" s="61" t="s">
        <v>54</v>
      </c>
      <c r="D33" s="62">
        <f>B33/B30</f>
        <v>1</v>
      </c>
      <c r="E33" s="63">
        <v>0.99</v>
      </c>
      <c r="F33" s="92" t="str">
        <f>IF(E33&lt;=D33,"ja","nein")</f>
        <v>ja</v>
      </c>
      <c r="G33" s="33">
        <f t="shared" si="0"/>
        <v>1</v>
      </c>
    </row>
    <row r="34" spans="1:8" ht="14.45" customHeight="1" x14ac:dyDescent="0.2">
      <c r="A34" s="64" t="s">
        <v>71</v>
      </c>
      <c r="B34" s="98">
        <f>'#Parameter (Spezies) DB'!B7</f>
        <v>0</v>
      </c>
      <c r="C34" s="65" t="s">
        <v>52</v>
      </c>
      <c r="D34" s="66">
        <f>B34/B29</f>
        <v>0</v>
      </c>
      <c r="E34" s="67">
        <v>0.01</v>
      </c>
      <c r="F34" s="94" t="str">
        <f>IF(E34&gt;=D34,"ja","nein")</f>
        <v>ja</v>
      </c>
      <c r="G34" s="33">
        <f t="shared" si="0"/>
        <v>1</v>
      </c>
    </row>
    <row r="35" spans="1:8" s="33" customFormat="1" ht="14.45" customHeight="1" x14ac:dyDescent="0.2">
      <c r="A35" s="140" t="s">
        <v>67</v>
      </c>
      <c r="B35" s="141">
        <f>'#Parameter (Spezies)'!B3</f>
        <v>41</v>
      </c>
      <c r="C35" s="142" t="s">
        <v>68</v>
      </c>
      <c r="D35" s="143">
        <f>'#Parameter (Spezies)'!B9</f>
        <v>0</v>
      </c>
      <c r="E35" s="144"/>
      <c r="F35" s="145"/>
    </row>
    <row r="36" spans="1:8" s="139" customFormat="1" ht="46.5" customHeight="1" x14ac:dyDescent="0.25">
      <c r="A36" s="210" t="str">
        <f>"Von "&amp;('Parameter (Spezies)'!B3-'Parameter (Spezies)'!B5&amp;" identifizierten Proben des Parameters wurden unter Verwendung der vollständigen Datenbank "&amp;B26&amp;" (="&amp;ROUND(((D26)*100),1)&amp;"%) richtig erkannt (Inklusivität). "&amp;'Parameter (Spezies)'!B8)&amp;" (="&amp;ROUND(((D27)*100),1)&amp;"%) der identifizierten Proben des Parameters wurden falsch einer anderen Spezies zugeordnet."</f>
        <v>Von 22 identifizierten Proben des Parameters wurden unter Verwendung der vollständigen Datenbank 22 (=100%) richtig erkannt (Inklusivität). 0 (=0%) der identifizierten Proben des Parameters wurden falsch einer anderen Spezies zugeordnet.</v>
      </c>
      <c r="B36" s="211"/>
      <c r="C36" s="211"/>
      <c r="D36" s="211"/>
      <c r="E36" s="212"/>
      <c r="F36" s="212"/>
    </row>
    <row r="37" spans="1:8" s="33" customFormat="1" ht="44.25" customHeight="1" x14ac:dyDescent="0.2">
      <c r="A37" s="213" t="str">
        <f>"In den "&amp;B30&amp;" identifizierten Proben der Nicht-Ziel-Parameter wurden unter Verwendung der vollständigen Datenbank "&amp;(ROUND(D33*100,1)&amp;"% richtig-negativ (Exklusivität) gezählt. Von diesen "&amp;B30&amp;" Proben wurden "&amp;B34&amp;" (="&amp;ROUND(D34*100,1)&amp;"%) fehlerhaft als Parameter identifiziert.")</f>
        <v>In den 39 identifizierten Proben der Nicht-Ziel-Parameter wurden unter Verwendung der vollständigen Datenbank 100% richtig-negativ (Exklusivität) gezählt. Von diesen 39 Proben wurden 0 (=0%) fehlerhaft als Parameter identifiziert.</v>
      </c>
      <c r="B37" s="214"/>
      <c r="C37" s="214"/>
      <c r="D37" s="214"/>
      <c r="E37" s="214"/>
      <c r="F37" s="214"/>
    </row>
    <row r="38" spans="1:8" s="33" customFormat="1" ht="30.75" customHeight="1" x14ac:dyDescent="0.2">
      <c r="A38" s="215" t="str">
        <f>"In den "&amp;B35&amp;" Proben der Nicht-Ziel-Parameter wurden unter Verwendung einer nur den Parameter enthaltenden Datenbank bei "&amp;'#Parameter (Spezies)'!B7&amp;""&amp;B19&amp;" (="&amp;ROUND(D35*100,1)&amp;"%) Einträgen ein score &gt; "&amp;'Parameter (Spezies)'!$B$12&amp;" erreicht."</f>
        <v>In den 41 Proben der Nicht-Ziel-Parameter wurden unter Verwendung einer nur den Parameter enthaltenden Datenbank bei 0 (=0%) Einträgen ein score &gt; 2 erreicht.</v>
      </c>
      <c r="B38" s="216"/>
      <c r="C38" s="216"/>
      <c r="D38" s="216"/>
      <c r="E38" s="216"/>
      <c r="F38" s="216"/>
    </row>
    <row r="39" spans="1:8" s="26" customFormat="1" x14ac:dyDescent="0.2">
      <c r="A39" s="105" t="s">
        <v>77</v>
      </c>
      <c r="B39" s="106" t="s">
        <v>56</v>
      </c>
      <c r="C39" s="104" t="s">
        <v>76</v>
      </c>
      <c r="D39" s="183" t="str">
        <f>IF(SUM(G23:G35)=8,"erfüllt","nicht erfüllt")</f>
        <v>erfüllt</v>
      </c>
      <c r="E39" s="104"/>
      <c r="F39" s="104"/>
      <c r="H39" s="17"/>
    </row>
    <row r="40" spans="1:8" s="33" customFormat="1" x14ac:dyDescent="0.2">
      <c r="A40" s="199" t="s">
        <v>31</v>
      </c>
      <c r="B40" s="199"/>
      <c r="C40" s="199"/>
      <c r="D40" s="199"/>
      <c r="E40" s="44"/>
      <c r="F40" s="44"/>
    </row>
    <row r="41" spans="1:8" ht="36" customHeight="1" x14ac:dyDescent="0.2">
      <c r="A41" s="220"/>
      <c r="B41" s="220"/>
      <c r="C41" s="220"/>
      <c r="D41" s="220"/>
      <c r="E41" s="220"/>
      <c r="F41" s="220"/>
    </row>
    <row r="42" spans="1:8" s="25" customFormat="1" x14ac:dyDescent="0.2">
      <c r="A42" s="20" t="s">
        <v>29</v>
      </c>
      <c r="B42" s="20" t="s">
        <v>28</v>
      </c>
      <c r="C42" s="20" t="s">
        <v>26</v>
      </c>
      <c r="D42" s="204" t="s">
        <v>27</v>
      </c>
      <c r="E42" s="205"/>
      <c r="F42" s="206"/>
    </row>
    <row r="43" spans="1:8" s="25" customFormat="1" x14ac:dyDescent="0.2">
      <c r="A43" s="168" t="str">
        <f>Settings!C4</f>
        <v>CVUA S</v>
      </c>
      <c r="B43" s="22" t="s">
        <v>209</v>
      </c>
      <c r="C43" s="23">
        <v>44971</v>
      </c>
      <c r="D43" s="207" t="s">
        <v>46</v>
      </c>
      <c r="E43" s="208"/>
      <c r="F43" s="209"/>
    </row>
    <row r="44" spans="1:8" s="33" customFormat="1" x14ac:dyDescent="0.2">
      <c r="A44" s="218" t="s">
        <v>102</v>
      </c>
      <c r="B44" s="218"/>
      <c r="C44" s="218"/>
      <c r="D44" s="218"/>
      <c r="E44" s="219"/>
      <c r="F44" s="219"/>
    </row>
    <row r="45" spans="1:8" x14ac:dyDescent="0.2">
      <c r="A45" s="198" t="s">
        <v>30</v>
      </c>
      <c r="B45" s="198"/>
      <c r="C45" s="21"/>
      <c r="D45" s="21"/>
      <c r="E45" s="18"/>
      <c r="F45" s="18"/>
    </row>
    <row r="46" spans="1:8" x14ac:dyDescent="0.2">
      <c r="A46" s="194" t="s">
        <v>23</v>
      </c>
      <c r="B46" s="194"/>
      <c r="C46" s="194"/>
      <c r="D46" s="194"/>
      <c r="E46" s="195"/>
      <c r="F46" s="195"/>
    </row>
    <row r="47" spans="1:8" x14ac:dyDescent="0.2">
      <c r="E47" s="18"/>
      <c r="F47" s="18"/>
    </row>
  </sheetData>
  <mergeCells count="32">
    <mergeCell ref="C18:F18"/>
    <mergeCell ref="A1:F1"/>
    <mergeCell ref="D6:E6"/>
    <mergeCell ref="D5:E5"/>
    <mergeCell ref="A15:F15"/>
    <mergeCell ref="C12:D12"/>
    <mergeCell ref="A13:D13"/>
    <mergeCell ref="A12:B12"/>
    <mergeCell ref="A11:B11"/>
    <mergeCell ref="B10:C10"/>
    <mergeCell ref="A2:D2"/>
    <mergeCell ref="A3:F3"/>
    <mergeCell ref="B7:F7"/>
    <mergeCell ref="B8:F8"/>
    <mergeCell ref="C11:F11"/>
    <mergeCell ref="A14:F14"/>
    <mergeCell ref="A46:F46"/>
    <mergeCell ref="A16:F16"/>
    <mergeCell ref="A45:B45"/>
    <mergeCell ref="A40:D40"/>
    <mergeCell ref="C25:D25"/>
    <mergeCell ref="C32:D32"/>
    <mergeCell ref="D42:F42"/>
    <mergeCell ref="D43:F43"/>
    <mergeCell ref="A36:F36"/>
    <mergeCell ref="A37:F37"/>
    <mergeCell ref="A38:F38"/>
    <mergeCell ref="C19:F19"/>
    <mergeCell ref="A44:F44"/>
    <mergeCell ref="A41:F41"/>
    <mergeCell ref="A19:B19"/>
    <mergeCell ref="A18:B18"/>
  </mergeCells>
  <conditionalFormatting sqref="D39">
    <cfRule type="containsText" dxfId="0" priority="1" operator="containsText" text="nicht erfüllt">
      <formula>NOT(ISERROR(SEARCH("nicht erfüllt",D39)))</formula>
    </cfRule>
  </conditionalFormatting>
  <pageMargins left="0.7" right="0.7" top="0.78740157499999996" bottom="0.78740157499999996" header="0.3" footer="0.3"/>
  <pageSetup paperSize="9" scale="89" orientation="portrait" r:id="rId1"/>
  <headerFooter>
    <oddHeader>&amp;CSpezies-Validierung von Parametern für das MALDI Biotyper-System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1143000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9525</xdr:rowOff>
                  </from>
                  <to>
                    <xdr:col>5</xdr:col>
                    <xdr:colOff>219075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9525</xdr:rowOff>
                  </from>
                  <to>
                    <xdr:col>3</xdr:col>
                    <xdr:colOff>600075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9525</xdr:rowOff>
                  </from>
                  <to>
                    <xdr:col>2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3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6" sqref="J26"/>
    </sheetView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Settings</vt:lpstr>
      <vt:lpstr>Parameter (Spezies)</vt:lpstr>
      <vt:lpstr>#Parameter (Spezies) DB</vt:lpstr>
      <vt:lpstr>#Parameter (Spezies)</vt:lpstr>
      <vt:lpstr>Report (Spezies)</vt:lpstr>
      <vt:lpstr>Sortierung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Fuchs, Jannika (CVUA-KA)</dc:creator>
  <cp:lastModifiedBy>Rau, Joerg (CVUA-S)</cp:lastModifiedBy>
  <cp:lastPrinted>2023-02-14T15:58:15Z</cp:lastPrinted>
  <dcterms:created xsi:type="dcterms:W3CDTF">2016-08-19T11:01:12Z</dcterms:created>
  <dcterms:modified xsi:type="dcterms:W3CDTF">2023-02-14T15:58:17Z</dcterms:modified>
</cp:coreProperties>
</file>